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lpine Club\Treasury Files\Financial Reports\ConsolFinancials_2016_Q4\"/>
    </mc:Choice>
  </mc:AlternateContent>
  <workbookProtection workbookAlgorithmName="SHA-512" workbookHashValue="xeiuxdNTB4rVZelbmZDWpATvkRLji3iFxky2NT4oUSX7LIw94X8rI44P+A43au1bjp2hNoLVxi6wEkG9f2Qvzw==" workbookSaltValue="UgFRFQh7MGRibS0BRkcs5Q==" workbookSpinCount="100000" lockStructure="1"/>
  <bookViews>
    <workbookView xWindow="9156" yWindow="480" windowWidth="13740" windowHeight="10968" tabRatio="861"/>
  </bookViews>
  <sheets>
    <sheet name="Consol Inc Stmt" sheetId="1" r:id="rId1"/>
    <sheet name="Consol Bal Sheet" sheetId="2" r:id="rId2"/>
    <sheet name="Consol CF Smt" sheetId="3" r:id="rId3"/>
    <sheet name="CAC Inc Stmt" sheetId="7" r:id="rId4"/>
    <sheet name="CAC Bal Sheet" sheetId="10" r:id="rId5"/>
    <sheet name="CAC CF Smt" sheetId="13" r:id="rId6"/>
    <sheet name="AL Inc Stmt" sheetId="8" r:id="rId7"/>
    <sheet name="AL Bal Sheet" sheetId="11" r:id="rId8"/>
    <sheet name="AL CF Smt" sheetId="14" r:id="rId9"/>
    <sheet name="ESL Inc Stmt" sheetId="9" r:id="rId10"/>
    <sheet name="ESL Bal Sheet" sheetId="12" r:id="rId11"/>
    <sheet name="ESL CF Smt" sheetId="15" r:id="rId12"/>
  </sheets>
  <definedNames>
    <definedName name="_xlnm.Print_Titles" localSheetId="7">'AL Bal Sheet'!$1:$7</definedName>
    <definedName name="_xlnm.Print_Titles" localSheetId="8">'AL CF Smt'!$1:$5</definedName>
    <definedName name="_xlnm.Print_Titles" localSheetId="6">'AL Inc Stmt'!$1:$6</definedName>
    <definedName name="_xlnm.Print_Titles" localSheetId="4">'CAC Bal Sheet'!$1:$7</definedName>
    <definedName name="_xlnm.Print_Titles" localSheetId="5">'CAC CF Smt'!$1:$5</definedName>
    <definedName name="_xlnm.Print_Titles" localSheetId="3">'CAC Inc Stmt'!$1:$6</definedName>
    <definedName name="_xlnm.Print_Titles" localSheetId="1">'Consol Bal Sheet'!$1:$7</definedName>
    <definedName name="_xlnm.Print_Titles" localSheetId="2">'Consol CF Smt'!$1:$5</definedName>
    <definedName name="_xlnm.Print_Titles" localSheetId="0">'Consol Inc Stmt'!$1:$6</definedName>
    <definedName name="_xlnm.Print_Titles" localSheetId="10">'ESL Bal Sheet'!$1:$7</definedName>
    <definedName name="_xlnm.Print_Titles" localSheetId="11">'ESL CF Smt'!$1:$5</definedName>
    <definedName name="_xlnm.Print_Titles" localSheetId="9">'ESL Inc Stmt'!$1:$6</definedName>
  </definedNames>
  <calcPr calcId="171027" concurrentCalc="0"/>
</workbook>
</file>

<file path=xl/calcChain.xml><?xml version="1.0" encoding="utf-8"?>
<calcChain xmlns="http://schemas.openxmlformats.org/spreadsheetml/2006/main">
  <c r="K84" i="11" l="1"/>
  <c r="K43" i="11"/>
  <c r="K37" i="11"/>
  <c r="K15" i="11"/>
  <c r="K22" i="11"/>
  <c r="K29" i="11"/>
  <c r="K31" i="11"/>
  <c r="K45" i="11"/>
  <c r="K55" i="11"/>
  <c r="K62" i="11"/>
  <c r="K64" i="11"/>
  <c r="K66" i="11"/>
  <c r="K162" i="8"/>
  <c r="K167" i="8"/>
  <c r="K154" i="8"/>
  <c r="K156" i="8"/>
  <c r="K158" i="8"/>
  <c r="K149" i="8"/>
  <c r="K140" i="8"/>
  <c r="K132" i="8"/>
  <c r="K109" i="8"/>
  <c r="K13" i="8"/>
  <c r="K14" i="8"/>
  <c r="K15" i="8"/>
  <c r="K8" i="8"/>
  <c r="K20" i="8"/>
  <c r="K34" i="8"/>
  <c r="K45" i="8"/>
  <c r="K52" i="8"/>
  <c r="K53" i="8"/>
  <c r="K54" i="8"/>
  <c r="K68" i="8"/>
  <c r="K76" i="8"/>
  <c r="K78" i="8"/>
  <c r="K80" i="8"/>
  <c r="K88" i="8"/>
  <c r="K91" i="8"/>
  <c r="K94" i="8"/>
  <c r="K96" i="8"/>
  <c r="J21" i="14"/>
  <c r="O99" i="8"/>
  <c r="O100" i="8"/>
  <c r="O101" i="8"/>
  <c r="O102" i="8"/>
  <c r="O103" i="8"/>
  <c r="O104" i="8"/>
  <c r="O105" i="8"/>
  <c r="O106" i="8"/>
  <c r="O107" i="8"/>
  <c r="O109" i="8"/>
  <c r="K21" i="14"/>
  <c r="I21" i="14"/>
  <c r="H21" i="14"/>
  <c r="H21" i="15"/>
  <c r="I21" i="15"/>
  <c r="J21" i="15"/>
  <c r="K21" i="15"/>
  <c r="K84" i="12"/>
  <c r="K43" i="12"/>
  <c r="K37" i="12"/>
  <c r="K15" i="12"/>
  <c r="K22" i="12"/>
  <c r="K29" i="12"/>
  <c r="K31" i="12"/>
  <c r="K45" i="12"/>
  <c r="K55" i="12"/>
  <c r="K62" i="12"/>
  <c r="K64" i="12"/>
  <c r="K66" i="12"/>
  <c r="K162" i="9"/>
  <c r="K167" i="9"/>
  <c r="K154" i="9"/>
  <c r="K158" i="9"/>
  <c r="K149" i="9"/>
  <c r="K140" i="9"/>
  <c r="K132" i="9"/>
  <c r="K109" i="9"/>
  <c r="K8" i="9"/>
  <c r="K23" i="9"/>
  <c r="K20" i="9"/>
  <c r="K34" i="9"/>
  <c r="K45" i="9"/>
  <c r="K52" i="9"/>
  <c r="K53" i="9"/>
  <c r="K54" i="9"/>
  <c r="K58" i="9"/>
  <c r="K68" i="9"/>
  <c r="K76" i="9"/>
  <c r="K78" i="9"/>
  <c r="K80" i="9"/>
  <c r="K88" i="9"/>
  <c r="K91" i="9"/>
  <c r="K94" i="9"/>
  <c r="K96" i="9"/>
  <c r="K60" i="10"/>
  <c r="J60" i="10"/>
  <c r="K48" i="10"/>
  <c r="J48" i="10"/>
  <c r="K143" i="7"/>
  <c r="K55" i="10"/>
  <c r="J55" i="10"/>
  <c r="K13" i="13"/>
  <c r="K64" i="7"/>
  <c r="K63" i="7"/>
  <c r="I19" i="13"/>
  <c r="J19" i="13"/>
  <c r="K19" i="13"/>
  <c r="H19" i="13"/>
  <c r="I20" i="13"/>
  <c r="J20" i="13"/>
  <c r="K20" i="13"/>
  <c r="H20" i="13"/>
  <c r="K58" i="10"/>
  <c r="K59" i="10"/>
  <c r="J63" i="7"/>
  <c r="J64" i="7"/>
  <c r="K41" i="1"/>
  <c r="J41" i="7"/>
  <c r="I41" i="7"/>
  <c r="K50" i="7"/>
  <c r="K83" i="7"/>
  <c r="J84" i="11"/>
  <c r="J62" i="11"/>
  <c r="J55" i="11"/>
  <c r="J64" i="11"/>
  <c r="J43" i="11"/>
  <c r="J45" i="11"/>
  <c r="J66" i="11"/>
  <c r="J37" i="11"/>
  <c r="J29" i="11"/>
  <c r="J22" i="11"/>
  <c r="J15" i="11"/>
  <c r="J31" i="11"/>
  <c r="J167" i="8"/>
  <c r="J154" i="8"/>
  <c r="J158" i="8"/>
  <c r="J53" i="8"/>
  <c r="N53" i="8"/>
  <c r="J149" i="8"/>
  <c r="J52" i="8"/>
  <c r="J76" i="8"/>
  <c r="J140" i="8"/>
  <c r="J132" i="8"/>
  <c r="J109" i="8"/>
  <c r="J91" i="8"/>
  <c r="J94" i="8"/>
  <c r="J80" i="8"/>
  <c r="J68" i="8"/>
  <c r="J54" i="8"/>
  <c r="N54" i="8"/>
  <c r="J34" i="8"/>
  <c r="J20" i="8"/>
  <c r="J15" i="8"/>
  <c r="J14" i="8"/>
  <c r="J13" i="8"/>
  <c r="J8" i="8"/>
  <c r="J45" i="8"/>
  <c r="J78" i="8"/>
  <c r="J88" i="8"/>
  <c r="J96" i="8"/>
  <c r="N68" i="8"/>
  <c r="N162" i="8"/>
  <c r="N145" i="8"/>
  <c r="N137" i="8"/>
  <c r="N130" i="8"/>
  <c r="N126" i="8"/>
  <c r="N122" i="8"/>
  <c r="N118" i="8"/>
  <c r="N107" i="8"/>
  <c r="N104" i="8"/>
  <c r="N103" i="8"/>
  <c r="N100" i="8"/>
  <c r="N99" i="8"/>
  <c r="N83" i="8"/>
  <c r="N74" i="8"/>
  <c r="N73" i="8"/>
  <c r="N69" i="8"/>
  <c r="N65" i="8"/>
  <c r="N64" i="8"/>
  <c r="N61" i="8"/>
  <c r="N60" i="8"/>
  <c r="N57" i="8"/>
  <c r="N56" i="8"/>
  <c r="N49" i="8"/>
  <c r="N48" i="8"/>
  <c r="N30" i="8"/>
  <c r="N29" i="8"/>
  <c r="N26" i="8"/>
  <c r="N25" i="8"/>
  <c r="N22" i="8"/>
  <c r="N15" i="8"/>
  <c r="N11" i="8"/>
  <c r="N9" i="8"/>
  <c r="N10" i="8"/>
  <c r="N12" i="8"/>
  <c r="N14" i="8"/>
  <c r="N16" i="8"/>
  <c r="N17" i="8"/>
  <c r="N23" i="8"/>
  <c r="N24" i="8"/>
  <c r="N27" i="8"/>
  <c r="N28" i="8"/>
  <c r="N35" i="8"/>
  <c r="N36" i="8"/>
  <c r="N38" i="8"/>
  <c r="N39" i="8"/>
  <c r="N40" i="8"/>
  <c r="N41" i="8"/>
  <c r="N42" i="8"/>
  <c r="N50" i="8"/>
  <c r="N51" i="8"/>
  <c r="N55" i="8"/>
  <c r="N58" i="8"/>
  <c r="N59" i="8"/>
  <c r="N62" i="8"/>
  <c r="N63" i="8"/>
  <c r="N66" i="8"/>
  <c r="N67" i="8"/>
  <c r="N70" i="8"/>
  <c r="N72" i="8"/>
  <c r="N84" i="8"/>
  <c r="N92" i="8"/>
  <c r="N94" i="8"/>
  <c r="N101" i="8"/>
  <c r="N102" i="8"/>
  <c r="N105" i="8"/>
  <c r="N106" i="8"/>
  <c r="N115" i="8"/>
  <c r="N116" i="8"/>
  <c r="N117" i="8"/>
  <c r="N119" i="8"/>
  <c r="N120" i="8"/>
  <c r="N121" i="8"/>
  <c r="N123" i="8"/>
  <c r="N124" i="8"/>
  <c r="N125" i="8"/>
  <c r="N127" i="8"/>
  <c r="N128" i="8"/>
  <c r="N129" i="8"/>
  <c r="N135" i="8"/>
  <c r="N136" i="8"/>
  <c r="N138" i="8"/>
  <c r="N143" i="8"/>
  <c r="N144" i="8"/>
  <c r="N146" i="8"/>
  <c r="N147" i="8"/>
  <c r="N152" i="8"/>
  <c r="N153" i="8"/>
  <c r="N154" i="8"/>
  <c r="N155" i="8"/>
  <c r="N156" i="8"/>
  <c r="N161" i="8"/>
  <c r="N163" i="8"/>
  <c r="N167" i="8"/>
  <c r="N164" i="8"/>
  <c r="N165" i="8"/>
  <c r="N13" i="8"/>
  <c r="N52" i="8"/>
  <c r="N8" i="8"/>
  <c r="N76" i="8"/>
  <c r="N158" i="8"/>
  <c r="N149" i="8"/>
  <c r="N132" i="8"/>
  <c r="N109" i="8"/>
  <c r="N140" i="8"/>
  <c r="N34" i="8"/>
  <c r="N82" i="8"/>
  <c r="N80" i="8"/>
  <c r="N21" i="8"/>
  <c r="N20" i="8"/>
  <c r="N45" i="8"/>
  <c r="N78" i="8"/>
  <c r="N88" i="8"/>
  <c r="N96" i="8"/>
  <c r="J59" i="10"/>
  <c r="J58" i="10"/>
  <c r="J143" i="7"/>
  <c r="J50" i="7"/>
  <c r="N35" i="7"/>
  <c r="I71" i="12"/>
  <c r="J23" i="9"/>
  <c r="J84" i="12"/>
  <c r="J58" i="12"/>
  <c r="J55" i="12"/>
  <c r="J43" i="12"/>
  <c r="J37" i="12"/>
  <c r="J29" i="12"/>
  <c r="J22" i="12"/>
  <c r="J31" i="12"/>
  <c r="J45" i="12"/>
  <c r="J15" i="12"/>
  <c r="J162" i="9"/>
  <c r="J167" i="9"/>
  <c r="J68" i="9"/>
  <c r="J158" i="9"/>
  <c r="J149" i="9"/>
  <c r="J140" i="9"/>
  <c r="J132" i="9"/>
  <c r="J109" i="9"/>
  <c r="J91" i="9"/>
  <c r="J94" i="9"/>
  <c r="J80" i="9"/>
  <c r="J72" i="9"/>
  <c r="J58" i="9"/>
  <c r="J54" i="9"/>
  <c r="J53" i="9"/>
  <c r="J52" i="9"/>
  <c r="J34" i="9"/>
  <c r="J22" i="9"/>
  <c r="J20" i="9"/>
  <c r="J8" i="9"/>
  <c r="J76" i="9"/>
  <c r="J60" i="12"/>
  <c r="J62" i="12"/>
  <c r="J64" i="12"/>
  <c r="J66" i="12"/>
  <c r="J45" i="9"/>
  <c r="J78" i="9"/>
  <c r="J88" i="9"/>
  <c r="J96" i="9"/>
  <c r="I84" i="12"/>
  <c r="I58" i="12"/>
  <c r="I55" i="12"/>
  <c r="I43" i="12"/>
  <c r="I37" i="12"/>
  <c r="I29" i="12"/>
  <c r="I22" i="12"/>
  <c r="I31" i="12"/>
  <c r="I15" i="12"/>
  <c r="I162" i="9"/>
  <c r="I167" i="9"/>
  <c r="I68" i="9"/>
  <c r="I158" i="9"/>
  <c r="I149" i="9"/>
  <c r="I52" i="9"/>
  <c r="I140" i="9"/>
  <c r="I54" i="9"/>
  <c r="I132" i="9"/>
  <c r="I109" i="9"/>
  <c r="I91" i="9"/>
  <c r="I94" i="9"/>
  <c r="I80" i="9"/>
  <c r="I72" i="9"/>
  <c r="I58" i="9"/>
  <c r="I53" i="9"/>
  <c r="I34" i="9"/>
  <c r="I20" i="9"/>
  <c r="I8" i="9"/>
  <c r="I45" i="12"/>
  <c r="I60" i="12"/>
  <c r="I62" i="12"/>
  <c r="I64" i="12"/>
  <c r="I66" i="12"/>
  <c r="I45" i="9"/>
  <c r="I76" i="9"/>
  <c r="I78" i="9"/>
  <c r="I88" i="9"/>
  <c r="I96" i="9"/>
  <c r="I60" i="10"/>
  <c r="I10" i="10"/>
  <c r="L99" i="7"/>
  <c r="I84" i="11"/>
  <c r="I60" i="11"/>
  <c r="I62" i="11"/>
  <c r="I55" i="11"/>
  <c r="I64" i="11"/>
  <c r="I43" i="11"/>
  <c r="I37" i="11"/>
  <c r="I29" i="11"/>
  <c r="I22" i="11"/>
  <c r="I15" i="11"/>
  <c r="I167" i="8"/>
  <c r="I156" i="8"/>
  <c r="I153" i="8"/>
  <c r="I158" i="8"/>
  <c r="I53" i="8"/>
  <c r="I149" i="8"/>
  <c r="I140" i="8"/>
  <c r="I132" i="8"/>
  <c r="I109" i="8"/>
  <c r="I91" i="8"/>
  <c r="I94" i="8"/>
  <c r="I80" i="8"/>
  <c r="I68" i="8"/>
  <c r="I54" i="8"/>
  <c r="I52" i="8"/>
  <c r="I76" i="8"/>
  <c r="I34" i="8"/>
  <c r="I20" i="8"/>
  <c r="I15" i="8"/>
  <c r="I14" i="8"/>
  <c r="I8" i="8"/>
  <c r="I45" i="8"/>
  <c r="I13" i="8"/>
  <c r="I31" i="11"/>
  <c r="I45" i="11"/>
  <c r="I66" i="11"/>
  <c r="I78" i="8"/>
  <c r="I88" i="8"/>
  <c r="I96" i="8"/>
  <c r="I48" i="10"/>
  <c r="I59" i="10"/>
  <c r="H59" i="10"/>
  <c r="I58" i="10"/>
  <c r="I143" i="7"/>
  <c r="I63" i="7"/>
  <c r="I50" i="7"/>
  <c r="I80" i="7"/>
  <c r="L73" i="7"/>
  <c r="L72" i="7"/>
  <c r="H84" i="12"/>
  <c r="H58" i="12"/>
  <c r="H62" i="12"/>
  <c r="H60" i="12"/>
  <c r="H55" i="12"/>
  <c r="H43" i="12"/>
  <c r="H37" i="12"/>
  <c r="H29" i="12"/>
  <c r="H31" i="12"/>
  <c r="H45" i="12"/>
  <c r="H22" i="12"/>
  <c r="H15" i="12"/>
  <c r="H167" i="9"/>
  <c r="H162" i="9"/>
  <c r="H158" i="9"/>
  <c r="H149" i="9"/>
  <c r="H140" i="9"/>
  <c r="H132" i="9"/>
  <c r="H109" i="9"/>
  <c r="H91" i="9"/>
  <c r="H94" i="9"/>
  <c r="H80" i="9"/>
  <c r="H72" i="9"/>
  <c r="H68" i="9"/>
  <c r="H58" i="9"/>
  <c r="H54" i="9"/>
  <c r="H53" i="9"/>
  <c r="H52" i="9"/>
  <c r="H76" i="9"/>
  <c r="H34" i="9"/>
  <c r="H20" i="9"/>
  <c r="H8" i="9"/>
  <c r="H45" i="9"/>
  <c r="H64" i="12"/>
  <c r="H66" i="12"/>
  <c r="H78" i="9"/>
  <c r="H88" i="9"/>
  <c r="H96" i="9"/>
  <c r="P165" i="7"/>
  <c r="P163" i="7"/>
  <c r="P157" i="7"/>
  <c r="P156" i="7"/>
  <c r="P155" i="7"/>
  <c r="P154" i="7"/>
  <c r="P153" i="7"/>
  <c r="P158" i="7"/>
  <c r="P152" i="7"/>
  <c r="P147" i="7"/>
  <c r="P146" i="7"/>
  <c r="P145" i="7"/>
  <c r="P144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32" i="7"/>
  <c r="P107" i="7"/>
  <c r="P106" i="7"/>
  <c r="P105" i="7"/>
  <c r="P104" i="7"/>
  <c r="O103" i="7"/>
  <c r="P103" i="7"/>
  <c r="P102" i="7"/>
  <c r="P94" i="7"/>
  <c r="P92" i="7"/>
  <c r="P91" i="7"/>
  <c r="P86" i="7"/>
  <c r="P84" i="7"/>
  <c r="P74" i="7"/>
  <c r="P71" i="7"/>
  <c r="P65" i="7"/>
  <c r="P62" i="7"/>
  <c r="P61" i="7"/>
  <c r="P60" i="7"/>
  <c r="P59" i="7"/>
  <c r="P58" i="7"/>
  <c r="P57" i="7"/>
  <c r="P56" i="7"/>
  <c r="P55" i="7"/>
  <c r="P53" i="7"/>
  <c r="P51" i="7"/>
  <c r="P49" i="7"/>
  <c r="P48" i="7"/>
  <c r="P42" i="7"/>
  <c r="P39" i="7"/>
  <c r="P30" i="7"/>
  <c r="P29" i="7"/>
  <c r="P28" i="7"/>
  <c r="P27" i="7"/>
  <c r="P26" i="7"/>
  <c r="P25" i="7"/>
  <c r="P24" i="7"/>
  <c r="P23" i="7"/>
  <c r="P20" i="7"/>
  <c r="P22" i="7"/>
  <c r="P21" i="7"/>
  <c r="P17" i="7"/>
  <c r="P16" i="7"/>
  <c r="P15" i="7"/>
  <c r="P14" i="7"/>
  <c r="P13" i="7"/>
  <c r="P12" i="7"/>
  <c r="P11" i="7"/>
  <c r="P10" i="7"/>
  <c r="P9" i="7"/>
  <c r="P8" i="7"/>
  <c r="H84" i="11"/>
  <c r="H62" i="11"/>
  <c r="H55" i="11"/>
  <c r="H13" i="14"/>
  <c r="H43" i="11"/>
  <c r="H37" i="11"/>
  <c r="H29" i="11"/>
  <c r="H22" i="11"/>
  <c r="H15" i="11"/>
  <c r="H162" i="8"/>
  <c r="H167" i="8"/>
  <c r="H158" i="8"/>
  <c r="H149" i="8"/>
  <c r="H52" i="8"/>
  <c r="H140" i="8"/>
  <c r="H54" i="8"/>
  <c r="H132" i="8"/>
  <c r="H91" i="8"/>
  <c r="H94" i="8"/>
  <c r="H109" i="8"/>
  <c r="H80" i="8"/>
  <c r="H53" i="8"/>
  <c r="H34" i="8"/>
  <c r="H20" i="8"/>
  <c r="H8" i="8"/>
  <c r="H31" i="11"/>
  <c r="H45" i="11"/>
  <c r="H64" i="11"/>
  <c r="H45" i="8"/>
  <c r="H76" i="8"/>
  <c r="H66" i="11"/>
  <c r="H78" i="8"/>
  <c r="H88" i="8"/>
  <c r="H96" i="8"/>
  <c r="H60" i="10"/>
  <c r="H58" i="10"/>
  <c r="H40" i="7"/>
  <c r="H82" i="7"/>
  <c r="H143" i="7"/>
  <c r="L60" i="10"/>
  <c r="L10" i="10"/>
  <c r="G84" i="12"/>
  <c r="G58" i="12"/>
  <c r="G55" i="12"/>
  <c r="G43" i="12"/>
  <c r="G37" i="12"/>
  <c r="G29" i="12"/>
  <c r="G22" i="12"/>
  <c r="G15" i="12"/>
  <c r="G31" i="12"/>
  <c r="G45" i="12"/>
  <c r="G84" i="11"/>
  <c r="G62" i="11"/>
  <c r="G55" i="11"/>
  <c r="G64" i="11"/>
  <c r="G43" i="11"/>
  <c r="G37" i="11"/>
  <c r="G29" i="11"/>
  <c r="G22" i="11"/>
  <c r="G15" i="11"/>
  <c r="G84" i="10"/>
  <c r="G60" i="10"/>
  <c r="G59" i="10"/>
  <c r="G58" i="10"/>
  <c r="G62" i="10"/>
  <c r="G55" i="10"/>
  <c r="G43" i="10"/>
  <c r="G37" i="10"/>
  <c r="G29" i="10"/>
  <c r="G22" i="10"/>
  <c r="G31" i="10"/>
  <c r="G15" i="10"/>
  <c r="L62" i="12"/>
  <c r="L55" i="12"/>
  <c r="L43" i="12"/>
  <c r="L37" i="12"/>
  <c r="L29" i="12"/>
  <c r="L22" i="12"/>
  <c r="L31" i="12"/>
  <c r="L15" i="12"/>
  <c r="Q167" i="9"/>
  <c r="Q158" i="9"/>
  <c r="Q149" i="9"/>
  <c r="Q140" i="9"/>
  <c r="Q54" i="9"/>
  <c r="Q132" i="9"/>
  <c r="Q109" i="9"/>
  <c r="Q91" i="9"/>
  <c r="Q94" i="9"/>
  <c r="Q80" i="9"/>
  <c r="Q68" i="9"/>
  <c r="Q53" i="9"/>
  <c r="Q52" i="9"/>
  <c r="Q76" i="9"/>
  <c r="Q34" i="9"/>
  <c r="Q20" i="9"/>
  <c r="Q8" i="9"/>
  <c r="Q45" i="9"/>
  <c r="L62" i="11"/>
  <c r="L55" i="11"/>
  <c r="L64" i="11"/>
  <c r="L50" i="11"/>
  <c r="L43" i="11"/>
  <c r="L37" i="11"/>
  <c r="L25" i="11"/>
  <c r="L24" i="11"/>
  <c r="L29" i="11"/>
  <c r="L22" i="11"/>
  <c r="L15" i="11"/>
  <c r="Q167" i="8"/>
  <c r="Q68" i="8"/>
  <c r="Q158" i="8"/>
  <c r="Q156" i="8"/>
  <c r="Q149" i="8"/>
  <c r="Q52" i="8"/>
  <c r="Q140" i="8"/>
  <c r="Q54" i="8"/>
  <c r="Q132" i="8"/>
  <c r="Q92" i="8"/>
  <c r="Q94" i="8"/>
  <c r="Q109" i="8"/>
  <c r="Q80" i="8"/>
  <c r="Q57" i="8"/>
  <c r="Q53" i="8"/>
  <c r="Q51" i="8"/>
  <c r="Q34" i="8"/>
  <c r="Q20" i="8"/>
  <c r="Q14" i="8"/>
  <c r="Q8" i="8"/>
  <c r="Q13" i="8"/>
  <c r="L62" i="10"/>
  <c r="L55" i="10"/>
  <c r="L43" i="10"/>
  <c r="L37" i="10"/>
  <c r="L29" i="10"/>
  <c r="L22" i="10"/>
  <c r="L15" i="10"/>
  <c r="Q167" i="7"/>
  <c r="Q158" i="7"/>
  <c r="Q149" i="7"/>
  <c r="Q140" i="7"/>
  <c r="Q54" i="7"/>
  <c r="Q132" i="7"/>
  <c r="Q109" i="7"/>
  <c r="Q94" i="7"/>
  <c r="Q80" i="7"/>
  <c r="Q68" i="7"/>
  <c r="Q53" i="7"/>
  <c r="Q52" i="7"/>
  <c r="Q34" i="7"/>
  <c r="Q20" i="7"/>
  <c r="Q8" i="7"/>
  <c r="Q45" i="8"/>
  <c r="L64" i="10"/>
  <c r="Q45" i="7"/>
  <c r="L31" i="10"/>
  <c r="L45" i="10"/>
  <c r="G45" i="10"/>
  <c r="G66" i="10"/>
  <c r="G64" i="10"/>
  <c r="G31" i="11"/>
  <c r="L45" i="12"/>
  <c r="L66" i="12"/>
  <c r="L64" i="12"/>
  <c r="G60" i="12"/>
  <c r="G62" i="12"/>
  <c r="G64" i="12"/>
  <c r="G66" i="12"/>
  <c r="G45" i="11"/>
  <c r="G66" i="11"/>
  <c r="Q78" i="9"/>
  <c r="Q88" i="9"/>
  <c r="Q96" i="9"/>
  <c r="L31" i="11"/>
  <c r="L45" i="11"/>
  <c r="L66" i="11"/>
  <c r="Q76" i="8"/>
  <c r="Q76" i="7"/>
  <c r="Q78" i="7"/>
  <c r="Q88" i="7"/>
  <c r="Q78" i="8"/>
  <c r="Q88" i="8"/>
  <c r="Q96" i="8"/>
  <c r="L66" i="10"/>
  <c r="Q96" i="7"/>
  <c r="M9" i="13"/>
  <c r="K29" i="14"/>
  <c r="L29" i="14"/>
  <c r="N37" i="11"/>
  <c r="N15" i="11"/>
  <c r="N64" i="11"/>
  <c r="K167" i="7"/>
  <c r="J167" i="7"/>
  <c r="J68" i="7"/>
  <c r="N68" i="7"/>
  <c r="I167" i="7"/>
  <c r="I68" i="7"/>
  <c r="H167" i="7"/>
  <c r="H68" i="7"/>
  <c r="L68" i="7"/>
  <c r="K158" i="7"/>
  <c r="J158" i="7"/>
  <c r="J53" i="7"/>
  <c r="I158" i="7"/>
  <c r="H158" i="7"/>
  <c r="K149" i="7"/>
  <c r="K52" i="7"/>
  <c r="O52" i="7"/>
  <c r="J149" i="7"/>
  <c r="J52" i="7"/>
  <c r="I149" i="7"/>
  <c r="I52" i="7"/>
  <c r="H149" i="7"/>
  <c r="K140" i="7"/>
  <c r="K54" i="7"/>
  <c r="J140" i="7"/>
  <c r="I140" i="7"/>
  <c r="I54" i="7"/>
  <c r="M54" i="7"/>
  <c r="H140" i="7"/>
  <c r="H54" i="7"/>
  <c r="L54" i="7"/>
  <c r="K132" i="7"/>
  <c r="J132" i="7"/>
  <c r="J91" i="7"/>
  <c r="I132" i="7"/>
  <c r="H132" i="7"/>
  <c r="K109" i="7"/>
  <c r="J109" i="7"/>
  <c r="I109" i="7"/>
  <c r="H109" i="7"/>
  <c r="K8" i="7"/>
  <c r="K20" i="7"/>
  <c r="K34" i="7"/>
  <c r="K34" i="1"/>
  <c r="K53" i="7"/>
  <c r="K80" i="7"/>
  <c r="K91" i="7"/>
  <c r="K94" i="7"/>
  <c r="J8" i="7"/>
  <c r="J20" i="7"/>
  <c r="J34" i="7"/>
  <c r="J80" i="7"/>
  <c r="I8" i="7"/>
  <c r="I20" i="7"/>
  <c r="I34" i="7"/>
  <c r="I53" i="7"/>
  <c r="M53" i="7"/>
  <c r="I91" i="7"/>
  <c r="I94" i="7"/>
  <c r="H8" i="7"/>
  <c r="H20" i="7"/>
  <c r="H34" i="7"/>
  <c r="H52" i="7"/>
  <c r="L52" i="7"/>
  <c r="H53" i="7"/>
  <c r="H80" i="7"/>
  <c r="H91" i="7"/>
  <c r="H94" i="7"/>
  <c r="O68" i="8"/>
  <c r="M68" i="8"/>
  <c r="L53" i="8"/>
  <c r="M54" i="8"/>
  <c r="L54" i="8"/>
  <c r="H109" i="1"/>
  <c r="O52" i="8"/>
  <c r="I8" i="1"/>
  <c r="G162" i="9"/>
  <c r="G165" i="9"/>
  <c r="G167" i="9"/>
  <c r="G158" i="9"/>
  <c r="G53" i="9"/>
  <c r="G149" i="9"/>
  <c r="G140" i="9"/>
  <c r="G132" i="9"/>
  <c r="G109" i="9"/>
  <c r="G8" i="9"/>
  <c r="G21" i="9"/>
  <c r="G20" i="9"/>
  <c r="G34" i="9"/>
  <c r="G52" i="9"/>
  <c r="G54" i="9"/>
  <c r="G58" i="9"/>
  <c r="G68" i="9"/>
  <c r="G80" i="9"/>
  <c r="G91" i="9"/>
  <c r="G94" i="9"/>
  <c r="G162" i="8"/>
  <c r="G167" i="8"/>
  <c r="G154" i="8"/>
  <c r="G156" i="8"/>
  <c r="G156" i="1"/>
  <c r="G149" i="8"/>
  <c r="G52" i="8"/>
  <c r="G140" i="8"/>
  <c r="G132" i="8"/>
  <c r="G109" i="8"/>
  <c r="G13" i="8"/>
  <c r="G13" i="1"/>
  <c r="G14" i="8"/>
  <c r="G20" i="8"/>
  <c r="G34" i="8"/>
  <c r="U34" i="8"/>
  <c r="G48" i="8"/>
  <c r="G48" i="1"/>
  <c r="G54" i="8"/>
  <c r="G80" i="8"/>
  <c r="G92" i="8"/>
  <c r="G167" i="7"/>
  <c r="G68" i="7"/>
  <c r="G158" i="7"/>
  <c r="G143" i="7"/>
  <c r="G149" i="7"/>
  <c r="G140" i="7"/>
  <c r="G132" i="7"/>
  <c r="G109" i="7"/>
  <c r="G8" i="7"/>
  <c r="G20" i="7"/>
  <c r="G40" i="7"/>
  <c r="G34" i="7"/>
  <c r="G48" i="7"/>
  <c r="G50" i="7"/>
  <c r="G54" i="7"/>
  <c r="G63" i="7"/>
  <c r="G80" i="7"/>
  <c r="G94" i="7"/>
  <c r="H55" i="10"/>
  <c r="H13" i="13"/>
  <c r="I55" i="10"/>
  <c r="I13" i="13"/>
  <c r="J13" i="13"/>
  <c r="H16" i="14"/>
  <c r="I16" i="14"/>
  <c r="J16" i="14"/>
  <c r="K16" i="14"/>
  <c r="I13" i="14"/>
  <c r="J13" i="14"/>
  <c r="K13" i="14"/>
  <c r="I16" i="15"/>
  <c r="J16" i="15"/>
  <c r="K16" i="15"/>
  <c r="H16" i="15"/>
  <c r="H13" i="15"/>
  <c r="H13" i="3"/>
  <c r="I13" i="15"/>
  <c r="J13" i="15"/>
  <c r="K13" i="15"/>
  <c r="H43" i="10"/>
  <c r="K43" i="10"/>
  <c r="J43" i="10"/>
  <c r="L101" i="7"/>
  <c r="M99" i="7"/>
  <c r="M101" i="7"/>
  <c r="N99" i="7"/>
  <c r="N101" i="7"/>
  <c r="O99" i="7"/>
  <c r="O101" i="7"/>
  <c r="L100" i="7"/>
  <c r="M100" i="7"/>
  <c r="N100" i="7"/>
  <c r="N109" i="7"/>
  <c r="O100" i="7"/>
  <c r="K15" i="10"/>
  <c r="J15" i="10"/>
  <c r="I15" i="10"/>
  <c r="I29" i="13"/>
  <c r="H15" i="10"/>
  <c r="N53" i="9"/>
  <c r="M68" i="9"/>
  <c r="M72" i="7"/>
  <c r="O72" i="7"/>
  <c r="P72" i="7"/>
  <c r="L68" i="9"/>
  <c r="L52" i="9"/>
  <c r="G50" i="2"/>
  <c r="M23" i="15"/>
  <c r="L7" i="15"/>
  <c r="L7" i="13"/>
  <c r="L7" i="14"/>
  <c r="M7" i="14"/>
  <c r="N7" i="14"/>
  <c r="O161" i="7"/>
  <c r="L161" i="7"/>
  <c r="M161" i="7"/>
  <c r="N161" i="7"/>
  <c r="O161" i="8"/>
  <c r="L161" i="8"/>
  <c r="M161" i="8"/>
  <c r="O161" i="9"/>
  <c r="L161" i="9"/>
  <c r="M161" i="9"/>
  <c r="N161" i="9"/>
  <c r="G161" i="1"/>
  <c r="O162" i="7"/>
  <c r="P162" i="7"/>
  <c r="N162" i="7"/>
  <c r="L162" i="7"/>
  <c r="M162" i="7"/>
  <c r="O162" i="8"/>
  <c r="L162" i="8"/>
  <c r="M162" i="8"/>
  <c r="O162" i="9"/>
  <c r="M162" i="9"/>
  <c r="N162" i="9"/>
  <c r="G162" i="1"/>
  <c r="O163" i="7"/>
  <c r="L163" i="7"/>
  <c r="M163" i="7"/>
  <c r="N163" i="7"/>
  <c r="O163" i="8"/>
  <c r="O163" i="9"/>
  <c r="O163" i="1"/>
  <c r="L163" i="8"/>
  <c r="M163" i="8"/>
  <c r="L163" i="9"/>
  <c r="L163" i="1"/>
  <c r="M163" i="9"/>
  <c r="N163" i="9"/>
  <c r="G163" i="1"/>
  <c r="O164" i="7"/>
  <c r="L164" i="7"/>
  <c r="M164" i="7"/>
  <c r="N164" i="7"/>
  <c r="O164" i="8"/>
  <c r="O164" i="9"/>
  <c r="O164" i="1"/>
  <c r="L164" i="8"/>
  <c r="M164" i="8"/>
  <c r="L164" i="9"/>
  <c r="M164" i="9"/>
  <c r="N164" i="9"/>
  <c r="G164" i="1"/>
  <c r="U164" i="1"/>
  <c r="O165" i="8"/>
  <c r="O165" i="9"/>
  <c r="O165" i="1"/>
  <c r="L165" i="8"/>
  <c r="M165" i="8"/>
  <c r="L165" i="9"/>
  <c r="M165" i="9"/>
  <c r="N165" i="9"/>
  <c r="L165" i="7"/>
  <c r="M165" i="7"/>
  <c r="N165" i="7"/>
  <c r="O165" i="7"/>
  <c r="G165" i="1"/>
  <c r="O152" i="8"/>
  <c r="L152" i="8"/>
  <c r="M152" i="8"/>
  <c r="O152" i="9"/>
  <c r="O153" i="9"/>
  <c r="O154" i="9"/>
  <c r="O155" i="9"/>
  <c r="O156" i="9"/>
  <c r="O157" i="9"/>
  <c r="O158" i="9"/>
  <c r="L152" i="9"/>
  <c r="M152" i="9"/>
  <c r="N152" i="9"/>
  <c r="L152" i="7"/>
  <c r="M152" i="7"/>
  <c r="N152" i="7"/>
  <c r="O152" i="7"/>
  <c r="G152" i="1"/>
  <c r="O153" i="8"/>
  <c r="O153" i="1"/>
  <c r="L153" i="8"/>
  <c r="M153" i="8"/>
  <c r="L153" i="9"/>
  <c r="M153" i="9"/>
  <c r="M153" i="1"/>
  <c r="N153" i="9"/>
  <c r="N153" i="1"/>
  <c r="L153" i="7"/>
  <c r="M153" i="7"/>
  <c r="N153" i="7"/>
  <c r="O153" i="7"/>
  <c r="G153" i="1"/>
  <c r="O154" i="8"/>
  <c r="O154" i="1"/>
  <c r="L154" i="8"/>
  <c r="M154" i="8"/>
  <c r="L154" i="9"/>
  <c r="P154" i="9"/>
  <c r="M154" i="9"/>
  <c r="N154" i="9"/>
  <c r="L154" i="7"/>
  <c r="M154" i="7"/>
  <c r="N154" i="7"/>
  <c r="O154" i="7"/>
  <c r="O155" i="8"/>
  <c r="L155" i="8"/>
  <c r="M155" i="8"/>
  <c r="L155" i="9"/>
  <c r="L155" i="1"/>
  <c r="M155" i="9"/>
  <c r="N155" i="9"/>
  <c r="L155" i="7"/>
  <c r="M155" i="7"/>
  <c r="N155" i="7"/>
  <c r="O155" i="7"/>
  <c r="G155" i="1"/>
  <c r="U155" i="1"/>
  <c r="O156" i="8"/>
  <c r="L156" i="8"/>
  <c r="M156" i="8"/>
  <c r="L156" i="9"/>
  <c r="M156" i="9"/>
  <c r="N156" i="9"/>
  <c r="L156" i="7"/>
  <c r="L158" i="7"/>
  <c r="M156" i="7"/>
  <c r="N156" i="7"/>
  <c r="O156" i="7"/>
  <c r="L157" i="9"/>
  <c r="M157" i="9"/>
  <c r="N157" i="9"/>
  <c r="N157" i="1"/>
  <c r="G157" i="1"/>
  <c r="O143" i="7"/>
  <c r="L143" i="7"/>
  <c r="M143" i="7"/>
  <c r="N143" i="7"/>
  <c r="O143" i="8"/>
  <c r="L143" i="8"/>
  <c r="M143" i="8"/>
  <c r="O143" i="9"/>
  <c r="L143" i="9"/>
  <c r="M143" i="9"/>
  <c r="M143" i="1"/>
  <c r="N143" i="9"/>
  <c r="G143" i="1"/>
  <c r="O144" i="8"/>
  <c r="L144" i="8"/>
  <c r="M144" i="8"/>
  <c r="O144" i="9"/>
  <c r="L144" i="9"/>
  <c r="L149" i="9"/>
  <c r="M144" i="9"/>
  <c r="N144" i="9"/>
  <c r="L144" i="7"/>
  <c r="M144" i="7"/>
  <c r="N144" i="7"/>
  <c r="O144" i="7"/>
  <c r="G144" i="1"/>
  <c r="O145" i="8"/>
  <c r="L145" i="8"/>
  <c r="M145" i="8"/>
  <c r="O145" i="9"/>
  <c r="L145" i="9"/>
  <c r="M145" i="9"/>
  <c r="N145" i="9"/>
  <c r="P145" i="9"/>
  <c r="L145" i="7"/>
  <c r="M145" i="7"/>
  <c r="M145" i="1"/>
  <c r="N145" i="7"/>
  <c r="O145" i="7"/>
  <c r="G145" i="1"/>
  <c r="O146" i="8"/>
  <c r="L146" i="8"/>
  <c r="M146" i="8"/>
  <c r="O146" i="9"/>
  <c r="L146" i="9"/>
  <c r="M146" i="9"/>
  <c r="N146" i="9"/>
  <c r="L146" i="7"/>
  <c r="M146" i="7"/>
  <c r="N146" i="7"/>
  <c r="O146" i="7"/>
  <c r="G146" i="1"/>
  <c r="U146" i="1"/>
  <c r="T147" i="1"/>
  <c r="T134" i="1"/>
  <c r="O135" i="7"/>
  <c r="L135" i="7"/>
  <c r="M135" i="7"/>
  <c r="N135" i="7"/>
  <c r="O135" i="8"/>
  <c r="L135" i="8"/>
  <c r="M135" i="8"/>
  <c r="O135" i="9"/>
  <c r="L135" i="9"/>
  <c r="M135" i="9"/>
  <c r="N135" i="9"/>
  <c r="G135" i="1"/>
  <c r="O136" i="7"/>
  <c r="L136" i="7"/>
  <c r="M136" i="7"/>
  <c r="N136" i="7"/>
  <c r="N136" i="1"/>
  <c r="O136" i="8"/>
  <c r="L136" i="8"/>
  <c r="M136" i="8"/>
  <c r="O136" i="9"/>
  <c r="O137" i="9"/>
  <c r="O138" i="9"/>
  <c r="O140" i="9"/>
  <c r="L136" i="9"/>
  <c r="M136" i="9"/>
  <c r="N136" i="9"/>
  <c r="G136" i="1"/>
  <c r="O137" i="7"/>
  <c r="L137" i="7"/>
  <c r="M137" i="7"/>
  <c r="N137" i="7"/>
  <c r="O137" i="8"/>
  <c r="L137" i="8"/>
  <c r="M137" i="8"/>
  <c r="L137" i="9"/>
  <c r="L137" i="1"/>
  <c r="M137" i="9"/>
  <c r="N137" i="9"/>
  <c r="G137" i="1"/>
  <c r="O138" i="7"/>
  <c r="L138" i="7"/>
  <c r="M138" i="7"/>
  <c r="N138" i="7"/>
  <c r="O138" i="8"/>
  <c r="L138" i="8"/>
  <c r="M138" i="8"/>
  <c r="L138" i="9"/>
  <c r="M138" i="9"/>
  <c r="N138" i="9"/>
  <c r="G138" i="1"/>
  <c r="T132" i="1"/>
  <c r="L99" i="8"/>
  <c r="M99" i="8"/>
  <c r="O99" i="9"/>
  <c r="O100" i="9"/>
  <c r="O101" i="9"/>
  <c r="O102" i="9"/>
  <c r="O103" i="9"/>
  <c r="O104" i="9"/>
  <c r="O105" i="9"/>
  <c r="O106" i="9"/>
  <c r="O107" i="9"/>
  <c r="O109" i="9"/>
  <c r="L99" i="9"/>
  <c r="M99" i="9"/>
  <c r="N99" i="9"/>
  <c r="G99" i="1"/>
  <c r="U99" i="1"/>
  <c r="L100" i="8"/>
  <c r="M100" i="8"/>
  <c r="L100" i="9"/>
  <c r="M100" i="9"/>
  <c r="N100" i="9"/>
  <c r="J23" i="15"/>
  <c r="G100" i="1"/>
  <c r="U100" i="1"/>
  <c r="L101" i="8"/>
  <c r="M101" i="8"/>
  <c r="L101" i="9"/>
  <c r="M101" i="9"/>
  <c r="N101" i="9"/>
  <c r="G101" i="1"/>
  <c r="U101" i="1"/>
  <c r="L102" i="8"/>
  <c r="M102" i="8"/>
  <c r="L102" i="9"/>
  <c r="M102" i="9"/>
  <c r="N102" i="9"/>
  <c r="L102" i="7"/>
  <c r="M102" i="7"/>
  <c r="N102" i="7"/>
  <c r="O102" i="7"/>
  <c r="G102" i="1"/>
  <c r="U102" i="1"/>
  <c r="L103" i="8"/>
  <c r="M103" i="8"/>
  <c r="L103" i="9"/>
  <c r="M103" i="9"/>
  <c r="N103" i="9"/>
  <c r="L103" i="7"/>
  <c r="M103" i="7"/>
  <c r="N103" i="7"/>
  <c r="G103" i="1"/>
  <c r="K20" i="14"/>
  <c r="L104" i="8"/>
  <c r="M104" i="8"/>
  <c r="L104" i="9"/>
  <c r="M104" i="9"/>
  <c r="N104" i="9"/>
  <c r="L104" i="7"/>
  <c r="M104" i="7"/>
  <c r="N104" i="7"/>
  <c r="O104" i="7"/>
  <c r="G104" i="1"/>
  <c r="U104" i="1"/>
  <c r="L105" i="8"/>
  <c r="M105" i="8"/>
  <c r="L105" i="9"/>
  <c r="M105" i="9"/>
  <c r="N105" i="9"/>
  <c r="L105" i="7"/>
  <c r="M105" i="7"/>
  <c r="N105" i="7"/>
  <c r="O105" i="7"/>
  <c r="G105" i="1"/>
  <c r="U105" i="1"/>
  <c r="L106" i="8"/>
  <c r="M106" i="8"/>
  <c r="L106" i="9"/>
  <c r="M106" i="9"/>
  <c r="N106" i="9"/>
  <c r="L106" i="7"/>
  <c r="M106" i="7"/>
  <c r="N106" i="7"/>
  <c r="O106" i="7"/>
  <c r="G106" i="1"/>
  <c r="U106" i="1"/>
  <c r="L107" i="8"/>
  <c r="M107" i="8"/>
  <c r="L107" i="9"/>
  <c r="M107" i="9"/>
  <c r="N107" i="9"/>
  <c r="L107" i="7"/>
  <c r="M107" i="7"/>
  <c r="N107" i="7"/>
  <c r="O107" i="7"/>
  <c r="G107" i="1"/>
  <c r="U107" i="1"/>
  <c r="O9" i="8"/>
  <c r="L9" i="8"/>
  <c r="M9" i="8"/>
  <c r="O9" i="9"/>
  <c r="L9" i="9"/>
  <c r="M9" i="9"/>
  <c r="N9" i="9"/>
  <c r="N8" i="9"/>
  <c r="L9" i="7"/>
  <c r="M9" i="7"/>
  <c r="N9" i="7"/>
  <c r="O9" i="7"/>
  <c r="G9" i="1"/>
  <c r="O10" i="8"/>
  <c r="L10" i="8"/>
  <c r="L10" i="1"/>
  <c r="M10" i="8"/>
  <c r="O10" i="9"/>
  <c r="L10" i="9"/>
  <c r="M10" i="9"/>
  <c r="N10" i="9"/>
  <c r="L10" i="7"/>
  <c r="M10" i="7"/>
  <c r="N10" i="7"/>
  <c r="O10" i="7"/>
  <c r="G10" i="1"/>
  <c r="O11" i="8"/>
  <c r="L11" i="8"/>
  <c r="M11" i="8"/>
  <c r="O11" i="9"/>
  <c r="L11" i="9"/>
  <c r="M11" i="9"/>
  <c r="N11" i="9"/>
  <c r="L11" i="7"/>
  <c r="M11" i="7"/>
  <c r="N11" i="7"/>
  <c r="O11" i="7"/>
  <c r="G11" i="1"/>
  <c r="U11" i="1"/>
  <c r="O12" i="8"/>
  <c r="O12" i="9"/>
  <c r="O12" i="1"/>
  <c r="L12" i="8"/>
  <c r="M12" i="8"/>
  <c r="L12" i="9"/>
  <c r="M12" i="9"/>
  <c r="N12" i="9"/>
  <c r="L12" i="7"/>
  <c r="M12" i="7"/>
  <c r="N12" i="7"/>
  <c r="O12" i="7"/>
  <c r="G12" i="1"/>
  <c r="O13" i="8"/>
  <c r="L13" i="8"/>
  <c r="M13" i="8"/>
  <c r="O13" i="9"/>
  <c r="L13" i="9"/>
  <c r="M13" i="9"/>
  <c r="N13" i="9"/>
  <c r="L13" i="7"/>
  <c r="M13" i="7"/>
  <c r="N13" i="7"/>
  <c r="O13" i="7"/>
  <c r="O14" i="8"/>
  <c r="L14" i="8"/>
  <c r="M14" i="8"/>
  <c r="O14" i="9"/>
  <c r="L14" i="9"/>
  <c r="M14" i="9"/>
  <c r="N14" i="9"/>
  <c r="N14" i="1"/>
  <c r="L14" i="7"/>
  <c r="M14" i="7"/>
  <c r="N14" i="7"/>
  <c r="O14" i="7"/>
  <c r="G14" i="1"/>
  <c r="O15" i="8"/>
  <c r="L15" i="8"/>
  <c r="M15" i="8"/>
  <c r="O15" i="9"/>
  <c r="L15" i="9"/>
  <c r="M15" i="9"/>
  <c r="N15" i="9"/>
  <c r="L15" i="7"/>
  <c r="M15" i="7"/>
  <c r="N15" i="7"/>
  <c r="O15" i="7"/>
  <c r="G15" i="1"/>
  <c r="O16" i="8"/>
  <c r="L16" i="8"/>
  <c r="M16" i="8"/>
  <c r="O16" i="9"/>
  <c r="L16" i="9"/>
  <c r="M16" i="9"/>
  <c r="N16" i="9"/>
  <c r="L16" i="7"/>
  <c r="M16" i="7"/>
  <c r="N16" i="7"/>
  <c r="O16" i="7"/>
  <c r="G16" i="1"/>
  <c r="U16" i="1"/>
  <c r="O17" i="8"/>
  <c r="L17" i="8"/>
  <c r="M17" i="8"/>
  <c r="O17" i="9"/>
  <c r="L17" i="9"/>
  <c r="M17" i="9"/>
  <c r="N17" i="9"/>
  <c r="L17" i="7"/>
  <c r="M17" i="7"/>
  <c r="N17" i="7"/>
  <c r="O17" i="7"/>
  <c r="G17" i="1"/>
  <c r="O21" i="8"/>
  <c r="L21" i="8"/>
  <c r="M21" i="8"/>
  <c r="O21" i="9"/>
  <c r="L21" i="9"/>
  <c r="M21" i="9"/>
  <c r="N21" i="9"/>
  <c r="L21" i="7"/>
  <c r="M21" i="7"/>
  <c r="N21" i="7"/>
  <c r="O21" i="7"/>
  <c r="G21" i="1"/>
  <c r="O22" i="8"/>
  <c r="L22" i="8"/>
  <c r="L22" i="1"/>
  <c r="M22" i="8"/>
  <c r="O22" i="9"/>
  <c r="L22" i="9"/>
  <c r="M22" i="9"/>
  <c r="P22" i="9"/>
  <c r="N22" i="9"/>
  <c r="L22" i="7"/>
  <c r="M22" i="7"/>
  <c r="N22" i="7"/>
  <c r="O22" i="7"/>
  <c r="G22" i="1"/>
  <c r="O23" i="8"/>
  <c r="L23" i="8"/>
  <c r="M23" i="8"/>
  <c r="O23" i="9"/>
  <c r="L23" i="9"/>
  <c r="M23" i="9"/>
  <c r="N23" i="9"/>
  <c r="L23" i="7"/>
  <c r="M23" i="7"/>
  <c r="N23" i="7"/>
  <c r="O23" i="7"/>
  <c r="G23" i="1"/>
  <c r="O24" i="8"/>
  <c r="O24" i="9"/>
  <c r="O24" i="1"/>
  <c r="L24" i="8"/>
  <c r="M24" i="8"/>
  <c r="L24" i="9"/>
  <c r="M24" i="9"/>
  <c r="M24" i="1"/>
  <c r="N24" i="9"/>
  <c r="L24" i="7"/>
  <c r="M24" i="7"/>
  <c r="N24" i="7"/>
  <c r="O24" i="7"/>
  <c r="G24" i="1"/>
  <c r="O25" i="8"/>
  <c r="L25" i="8"/>
  <c r="M25" i="8"/>
  <c r="O25" i="9"/>
  <c r="L25" i="9"/>
  <c r="M25" i="9"/>
  <c r="N25" i="9"/>
  <c r="L25" i="7"/>
  <c r="M25" i="7"/>
  <c r="N25" i="7"/>
  <c r="O25" i="7"/>
  <c r="G25" i="1"/>
  <c r="O26" i="8"/>
  <c r="L26" i="8"/>
  <c r="M26" i="8"/>
  <c r="O26" i="9"/>
  <c r="L26" i="9"/>
  <c r="M26" i="9"/>
  <c r="N26" i="9"/>
  <c r="L26" i="7"/>
  <c r="M26" i="7"/>
  <c r="N26" i="7"/>
  <c r="O26" i="7"/>
  <c r="G26" i="1"/>
  <c r="O27" i="8"/>
  <c r="L27" i="8"/>
  <c r="M27" i="8"/>
  <c r="O27" i="9"/>
  <c r="L27" i="9"/>
  <c r="L27" i="1"/>
  <c r="M27" i="9"/>
  <c r="N27" i="9"/>
  <c r="L27" i="7"/>
  <c r="M27" i="7"/>
  <c r="N27" i="7"/>
  <c r="O27" i="7"/>
  <c r="G27" i="1"/>
  <c r="O28" i="8"/>
  <c r="L28" i="8"/>
  <c r="M28" i="8"/>
  <c r="O28" i="9"/>
  <c r="L28" i="9"/>
  <c r="M28" i="9"/>
  <c r="N28" i="9"/>
  <c r="L28" i="7"/>
  <c r="M28" i="7"/>
  <c r="N28" i="7"/>
  <c r="O28" i="7"/>
  <c r="G28" i="1"/>
  <c r="O29" i="8"/>
  <c r="L29" i="8"/>
  <c r="M29" i="8"/>
  <c r="O29" i="9"/>
  <c r="L29" i="9"/>
  <c r="M29" i="9"/>
  <c r="N29" i="9"/>
  <c r="L29" i="7"/>
  <c r="M29" i="7"/>
  <c r="N29" i="7"/>
  <c r="O29" i="7"/>
  <c r="G29" i="1"/>
  <c r="O30" i="8"/>
  <c r="L30" i="8"/>
  <c r="M30" i="8"/>
  <c r="O30" i="9"/>
  <c r="L30" i="9"/>
  <c r="M30" i="9"/>
  <c r="N30" i="9"/>
  <c r="L30" i="7"/>
  <c r="M30" i="7"/>
  <c r="N30" i="7"/>
  <c r="O30" i="7"/>
  <c r="G30" i="1"/>
  <c r="P31" i="1"/>
  <c r="G31" i="1"/>
  <c r="O35" i="7"/>
  <c r="L35" i="7"/>
  <c r="M35" i="7"/>
  <c r="L35" i="8"/>
  <c r="M35" i="8"/>
  <c r="O35" i="8"/>
  <c r="L35" i="9"/>
  <c r="M35" i="9"/>
  <c r="N35" i="9"/>
  <c r="O35" i="9"/>
  <c r="G35" i="1"/>
  <c r="O36" i="7"/>
  <c r="L36" i="7"/>
  <c r="M36" i="7"/>
  <c r="N36" i="7"/>
  <c r="L36" i="8"/>
  <c r="M36" i="8"/>
  <c r="O36" i="8"/>
  <c r="L36" i="9"/>
  <c r="M36" i="9"/>
  <c r="N36" i="9"/>
  <c r="O36" i="9"/>
  <c r="G36" i="1"/>
  <c r="N37" i="7"/>
  <c r="N37" i="1"/>
  <c r="L37" i="7"/>
  <c r="M37" i="7"/>
  <c r="O37" i="7"/>
  <c r="P37" i="1"/>
  <c r="G37" i="1"/>
  <c r="U37" i="1"/>
  <c r="O38" i="7"/>
  <c r="L38" i="7"/>
  <c r="M38" i="7"/>
  <c r="N38" i="7"/>
  <c r="O38" i="8"/>
  <c r="L38" i="8"/>
  <c r="M38" i="8"/>
  <c r="O38" i="9"/>
  <c r="L38" i="9"/>
  <c r="M38" i="9"/>
  <c r="N38" i="9"/>
  <c r="G38" i="1"/>
  <c r="O39" i="8"/>
  <c r="L39" i="8"/>
  <c r="M39" i="8"/>
  <c r="O39" i="9"/>
  <c r="L39" i="9"/>
  <c r="M39" i="9"/>
  <c r="N39" i="9"/>
  <c r="L39" i="7"/>
  <c r="M39" i="7"/>
  <c r="N39" i="7"/>
  <c r="O39" i="7"/>
  <c r="G39" i="1"/>
  <c r="U39" i="1"/>
  <c r="O40" i="7"/>
  <c r="M40" i="7"/>
  <c r="N40" i="7"/>
  <c r="L40" i="7"/>
  <c r="L40" i="8"/>
  <c r="L40" i="1"/>
  <c r="M40" i="8"/>
  <c r="O40" i="8"/>
  <c r="L40" i="9"/>
  <c r="M40" i="9"/>
  <c r="N40" i="9"/>
  <c r="O40" i="9"/>
  <c r="G40" i="1"/>
  <c r="O41" i="8"/>
  <c r="L41" i="8"/>
  <c r="M41" i="8"/>
  <c r="O41" i="9"/>
  <c r="L41" i="9"/>
  <c r="M41" i="9"/>
  <c r="N41" i="9"/>
  <c r="L41" i="7"/>
  <c r="L41" i="1"/>
  <c r="M41" i="7"/>
  <c r="N41" i="7"/>
  <c r="O41" i="7"/>
  <c r="G41" i="1"/>
  <c r="U41" i="1"/>
  <c r="O42" i="8"/>
  <c r="L42" i="8"/>
  <c r="M42" i="8"/>
  <c r="O42" i="9"/>
  <c r="L42" i="9"/>
  <c r="M42" i="9"/>
  <c r="N42" i="9"/>
  <c r="L42" i="7"/>
  <c r="M42" i="7"/>
  <c r="N42" i="7"/>
  <c r="O42" i="7"/>
  <c r="G42" i="1"/>
  <c r="U42" i="1"/>
  <c r="P43" i="1"/>
  <c r="G43" i="1"/>
  <c r="U43" i="1"/>
  <c r="O48" i="8"/>
  <c r="L48" i="8"/>
  <c r="M48" i="8"/>
  <c r="O48" i="9"/>
  <c r="L48" i="9"/>
  <c r="M48" i="9"/>
  <c r="N48" i="9"/>
  <c r="L48" i="7"/>
  <c r="M48" i="7"/>
  <c r="N48" i="7"/>
  <c r="O48" i="7"/>
  <c r="O49" i="8"/>
  <c r="L49" i="8"/>
  <c r="M49" i="8"/>
  <c r="O49" i="9"/>
  <c r="L49" i="9"/>
  <c r="M49" i="9"/>
  <c r="M49" i="1"/>
  <c r="N49" i="9"/>
  <c r="L49" i="7"/>
  <c r="M49" i="7"/>
  <c r="N49" i="7"/>
  <c r="O49" i="7"/>
  <c r="G49" i="1"/>
  <c r="N50" i="7"/>
  <c r="O50" i="7"/>
  <c r="L50" i="7"/>
  <c r="M50" i="7"/>
  <c r="O50" i="8"/>
  <c r="L50" i="8"/>
  <c r="M50" i="8"/>
  <c r="O50" i="9"/>
  <c r="L50" i="9"/>
  <c r="M50" i="9"/>
  <c r="N50" i="9"/>
  <c r="G50" i="1"/>
  <c r="O51" i="8"/>
  <c r="L51" i="8"/>
  <c r="M51" i="8"/>
  <c r="O51" i="9"/>
  <c r="L51" i="9"/>
  <c r="M51" i="9"/>
  <c r="N51" i="9"/>
  <c r="L51" i="7"/>
  <c r="M51" i="7"/>
  <c r="N51" i="7"/>
  <c r="O51" i="7"/>
  <c r="G51" i="1"/>
  <c r="M52" i="8"/>
  <c r="M52" i="9"/>
  <c r="L53" i="7"/>
  <c r="O53" i="8"/>
  <c r="O53" i="9"/>
  <c r="M53" i="9"/>
  <c r="O54" i="8"/>
  <c r="O54" i="9"/>
  <c r="L54" i="9"/>
  <c r="O55" i="8"/>
  <c r="L55" i="8"/>
  <c r="M55" i="8"/>
  <c r="O55" i="9"/>
  <c r="L55" i="9"/>
  <c r="M55" i="9"/>
  <c r="P55" i="9"/>
  <c r="N55" i="9"/>
  <c r="L55" i="7"/>
  <c r="M55" i="7"/>
  <c r="N55" i="7"/>
  <c r="O55" i="7"/>
  <c r="G55" i="1"/>
  <c r="O56" i="8"/>
  <c r="L56" i="8"/>
  <c r="M56" i="8"/>
  <c r="O56" i="9"/>
  <c r="L56" i="9"/>
  <c r="M56" i="9"/>
  <c r="M56" i="1"/>
  <c r="N56" i="9"/>
  <c r="L56" i="7"/>
  <c r="M56" i="7"/>
  <c r="N56" i="7"/>
  <c r="O56" i="7"/>
  <c r="G56" i="1"/>
  <c r="O57" i="8"/>
  <c r="L57" i="8"/>
  <c r="M57" i="8"/>
  <c r="O57" i="9"/>
  <c r="L57" i="9"/>
  <c r="L57" i="1"/>
  <c r="M57" i="9"/>
  <c r="N57" i="9"/>
  <c r="L57" i="7"/>
  <c r="M57" i="7"/>
  <c r="N57" i="7"/>
  <c r="O57" i="7"/>
  <c r="G57" i="1"/>
  <c r="O58" i="8"/>
  <c r="L58" i="8"/>
  <c r="M58" i="8"/>
  <c r="O58" i="9"/>
  <c r="L58" i="9"/>
  <c r="M58" i="9"/>
  <c r="N58" i="9"/>
  <c r="N58" i="1"/>
  <c r="L58" i="7"/>
  <c r="M58" i="7"/>
  <c r="N58" i="7"/>
  <c r="O58" i="7"/>
  <c r="G58" i="1"/>
  <c r="O59" i="8"/>
  <c r="L59" i="8"/>
  <c r="M59" i="8"/>
  <c r="O59" i="9"/>
  <c r="L59" i="9"/>
  <c r="M59" i="9"/>
  <c r="M59" i="1"/>
  <c r="N59" i="9"/>
  <c r="L59" i="7"/>
  <c r="M59" i="7"/>
  <c r="N59" i="7"/>
  <c r="O59" i="7"/>
  <c r="G59" i="1"/>
  <c r="O60" i="8"/>
  <c r="L60" i="8"/>
  <c r="M60" i="8"/>
  <c r="O60" i="9"/>
  <c r="L60" i="9"/>
  <c r="M60" i="9"/>
  <c r="N60" i="9"/>
  <c r="L60" i="7"/>
  <c r="M60" i="7"/>
  <c r="N60" i="7"/>
  <c r="O60" i="7"/>
  <c r="G60" i="1"/>
  <c r="O61" i="8"/>
  <c r="L61" i="8"/>
  <c r="M61" i="8"/>
  <c r="O61" i="9"/>
  <c r="L61" i="9"/>
  <c r="L61" i="1"/>
  <c r="M61" i="9"/>
  <c r="N61" i="9"/>
  <c r="L61" i="7"/>
  <c r="M61" i="7"/>
  <c r="N61" i="7"/>
  <c r="O61" i="7"/>
  <c r="G61" i="1"/>
  <c r="U61" i="1"/>
  <c r="O62" i="8"/>
  <c r="L62" i="8"/>
  <c r="M62" i="8"/>
  <c r="O62" i="9"/>
  <c r="O62" i="1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L62" i="9"/>
  <c r="M62" i="9"/>
  <c r="N62" i="9"/>
  <c r="N62" i="1"/>
  <c r="L62" i="7"/>
  <c r="M62" i="7"/>
  <c r="N62" i="7"/>
  <c r="O62" i="7"/>
  <c r="G62" i="1"/>
  <c r="O63" i="7"/>
  <c r="L63" i="7"/>
  <c r="M63" i="7"/>
  <c r="N63" i="7"/>
  <c r="O63" i="8"/>
  <c r="L63" i="8"/>
  <c r="M63" i="8"/>
  <c r="L63" i="9"/>
  <c r="M63" i="9"/>
  <c r="N63" i="9"/>
  <c r="G63" i="1"/>
  <c r="O64" i="7"/>
  <c r="L64" i="7"/>
  <c r="M64" i="7"/>
  <c r="N64" i="7"/>
  <c r="O64" i="8"/>
  <c r="O64" i="1"/>
  <c r="L64" i="8"/>
  <c r="M64" i="8"/>
  <c r="L64" i="9"/>
  <c r="M64" i="9"/>
  <c r="N64" i="9"/>
  <c r="G64" i="1"/>
  <c r="O65" i="8"/>
  <c r="O65" i="1"/>
  <c r="L65" i="8"/>
  <c r="M65" i="8"/>
  <c r="L65" i="9"/>
  <c r="M65" i="9"/>
  <c r="M65" i="1"/>
  <c r="N65" i="9"/>
  <c r="L65" i="7"/>
  <c r="M65" i="7"/>
  <c r="N65" i="7"/>
  <c r="O65" i="7"/>
  <c r="G65" i="1"/>
  <c r="O66" i="7"/>
  <c r="L66" i="7"/>
  <c r="M66" i="7"/>
  <c r="N66" i="7"/>
  <c r="O66" i="8"/>
  <c r="L66" i="8"/>
  <c r="M66" i="8"/>
  <c r="L66" i="9"/>
  <c r="M66" i="9"/>
  <c r="N66" i="9"/>
  <c r="G66" i="1"/>
  <c r="O67" i="8"/>
  <c r="L67" i="8"/>
  <c r="M67" i="8"/>
  <c r="M67" i="1"/>
  <c r="N67" i="7"/>
  <c r="N67" i="9"/>
  <c r="P67" i="9"/>
  <c r="L67" i="9"/>
  <c r="M67" i="9"/>
  <c r="L67" i="7"/>
  <c r="M67" i="7"/>
  <c r="O67" i="7"/>
  <c r="G67" i="1"/>
  <c r="N68" i="9"/>
  <c r="O69" i="7"/>
  <c r="L69" i="7"/>
  <c r="M69" i="7"/>
  <c r="N69" i="7"/>
  <c r="O69" i="8"/>
  <c r="O69" i="1"/>
  <c r="L69" i="8"/>
  <c r="M69" i="8"/>
  <c r="L69" i="9"/>
  <c r="M69" i="9"/>
  <c r="N69" i="9"/>
  <c r="G69" i="1"/>
  <c r="O70" i="7"/>
  <c r="L70" i="7"/>
  <c r="M70" i="7"/>
  <c r="N70" i="7"/>
  <c r="O70" i="8"/>
  <c r="O70" i="1"/>
  <c r="L70" i="8"/>
  <c r="M70" i="8"/>
  <c r="L70" i="9"/>
  <c r="M70" i="9"/>
  <c r="N70" i="9"/>
  <c r="G70" i="1"/>
  <c r="P71" i="9"/>
  <c r="L71" i="7"/>
  <c r="M71" i="7"/>
  <c r="N71" i="7"/>
  <c r="N71" i="1"/>
  <c r="O71" i="7"/>
  <c r="G71" i="1"/>
  <c r="U71" i="1"/>
  <c r="O72" i="8"/>
  <c r="L72" i="8"/>
  <c r="M72" i="8"/>
  <c r="L72" i="9"/>
  <c r="M72" i="9"/>
  <c r="N72" i="9"/>
  <c r="N72" i="7"/>
  <c r="G72" i="1"/>
  <c r="O73" i="8"/>
  <c r="L73" i="8"/>
  <c r="M73" i="8"/>
  <c r="L73" i="9"/>
  <c r="M73" i="9"/>
  <c r="N73" i="9"/>
  <c r="M73" i="7"/>
  <c r="N73" i="7"/>
  <c r="O73" i="7"/>
  <c r="G73" i="1"/>
  <c r="U73" i="1"/>
  <c r="O74" i="8"/>
  <c r="L74" i="8"/>
  <c r="M74" i="8"/>
  <c r="N74" i="1"/>
  <c r="L74" i="9"/>
  <c r="M74" i="9"/>
  <c r="N74" i="9"/>
  <c r="L74" i="7"/>
  <c r="M74" i="7"/>
  <c r="N74" i="7"/>
  <c r="O74" i="7"/>
  <c r="G74" i="1"/>
  <c r="U74" i="1"/>
  <c r="O82" i="7"/>
  <c r="L82" i="7"/>
  <c r="M82" i="7"/>
  <c r="N82" i="7"/>
  <c r="O82" i="8"/>
  <c r="L82" i="8"/>
  <c r="M82" i="8"/>
  <c r="L83" i="8"/>
  <c r="M83" i="8"/>
  <c r="O83" i="8"/>
  <c r="O84" i="8"/>
  <c r="O80" i="8"/>
  <c r="L84" i="8"/>
  <c r="M84" i="8"/>
  <c r="O82" i="9"/>
  <c r="L82" i="9"/>
  <c r="M82" i="9"/>
  <c r="N82" i="9"/>
  <c r="G82" i="1"/>
  <c r="O83" i="7"/>
  <c r="L83" i="7"/>
  <c r="M83" i="7"/>
  <c r="N83" i="7"/>
  <c r="O83" i="9"/>
  <c r="O84" i="9"/>
  <c r="O80" i="9"/>
  <c r="L83" i="9"/>
  <c r="M83" i="9"/>
  <c r="N83" i="9"/>
  <c r="G83" i="1"/>
  <c r="L84" i="9"/>
  <c r="M84" i="9"/>
  <c r="N84" i="9"/>
  <c r="N84" i="1"/>
  <c r="L84" i="7"/>
  <c r="M84" i="7"/>
  <c r="N84" i="7"/>
  <c r="O84" i="7"/>
  <c r="G84" i="1"/>
  <c r="U84" i="1"/>
  <c r="L86" i="7"/>
  <c r="M86" i="7"/>
  <c r="N86" i="7"/>
  <c r="O86" i="7"/>
  <c r="O86" i="1"/>
  <c r="G86" i="1"/>
  <c r="U86" i="1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M91" i="9"/>
  <c r="M91" i="1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P129" i="9"/>
  <c r="R129" i="9"/>
  <c r="N130" i="9"/>
  <c r="G91" i="1"/>
  <c r="O92" i="8"/>
  <c r="O94" i="8"/>
  <c r="L92" i="8"/>
  <c r="L92" i="1"/>
  <c r="M92" i="8"/>
  <c r="M92" i="9"/>
  <c r="P92" i="9"/>
  <c r="U72" i="7"/>
  <c r="U73" i="7"/>
  <c r="S71" i="7"/>
  <c r="S72" i="7"/>
  <c r="S73" i="7"/>
  <c r="S74" i="7"/>
  <c r="Q37" i="1"/>
  <c r="S37" i="1"/>
  <c r="Q71" i="1"/>
  <c r="S71" i="1"/>
  <c r="U71" i="7"/>
  <c r="Q167" i="1"/>
  <c r="Q165" i="1"/>
  <c r="Q164" i="1"/>
  <c r="Q163" i="1"/>
  <c r="Q162" i="1"/>
  <c r="Q161" i="1"/>
  <c r="Q156" i="1"/>
  <c r="Q155" i="1"/>
  <c r="Q154" i="1"/>
  <c r="Q153" i="1"/>
  <c r="Q152" i="1"/>
  <c r="L147" i="7"/>
  <c r="M147" i="7"/>
  <c r="N147" i="7"/>
  <c r="O147" i="7"/>
  <c r="O147" i="8"/>
  <c r="L147" i="8"/>
  <c r="M147" i="8"/>
  <c r="O147" i="9"/>
  <c r="L147" i="9"/>
  <c r="M147" i="9"/>
  <c r="N147" i="9"/>
  <c r="U147" i="1"/>
  <c r="S147" i="1"/>
  <c r="Q146" i="1"/>
  <c r="S146" i="1"/>
  <c r="Q145" i="1"/>
  <c r="S145" i="1"/>
  <c r="Q144" i="1"/>
  <c r="G140" i="1"/>
  <c r="Q138" i="1"/>
  <c r="Q137" i="1"/>
  <c r="Q136" i="1"/>
  <c r="Q135" i="1"/>
  <c r="U134" i="1"/>
  <c r="S134" i="1"/>
  <c r="G132" i="1"/>
  <c r="O115" i="8"/>
  <c r="L115" i="8"/>
  <c r="M115" i="8"/>
  <c r="O116" i="8"/>
  <c r="L116" i="8"/>
  <c r="M116" i="8"/>
  <c r="O117" i="8"/>
  <c r="L117" i="8"/>
  <c r="M117" i="8"/>
  <c r="O118" i="8"/>
  <c r="L118" i="8"/>
  <c r="M118" i="8"/>
  <c r="O119" i="8"/>
  <c r="L119" i="8"/>
  <c r="M119" i="8"/>
  <c r="O120" i="8"/>
  <c r="L120" i="8"/>
  <c r="M120" i="8"/>
  <c r="O121" i="8"/>
  <c r="L121" i="8"/>
  <c r="M121" i="8"/>
  <c r="O122" i="8"/>
  <c r="L122" i="8"/>
  <c r="M122" i="8"/>
  <c r="O123" i="8"/>
  <c r="L123" i="8"/>
  <c r="M123" i="8"/>
  <c r="O124" i="8"/>
  <c r="L124" i="8"/>
  <c r="M124" i="8"/>
  <c r="O125" i="8"/>
  <c r="L125" i="8"/>
  <c r="M125" i="8"/>
  <c r="O126" i="8"/>
  <c r="L126" i="8"/>
  <c r="M126" i="8"/>
  <c r="O127" i="8"/>
  <c r="L127" i="8"/>
  <c r="M127" i="8"/>
  <c r="O128" i="8"/>
  <c r="L128" i="8"/>
  <c r="M128" i="8"/>
  <c r="O129" i="8"/>
  <c r="L129" i="8"/>
  <c r="M129" i="8"/>
  <c r="O130" i="8"/>
  <c r="L130" i="8"/>
  <c r="M130" i="8"/>
  <c r="P130" i="8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L115" i="7"/>
  <c r="M115" i="7"/>
  <c r="N115" i="7"/>
  <c r="O115" i="7"/>
  <c r="L116" i="7"/>
  <c r="M116" i="7"/>
  <c r="N116" i="7"/>
  <c r="O116" i="7"/>
  <c r="L117" i="7"/>
  <c r="M117" i="7"/>
  <c r="N117" i="7"/>
  <c r="O117" i="7"/>
  <c r="L118" i="7"/>
  <c r="M118" i="7"/>
  <c r="N118" i="7"/>
  <c r="O118" i="7"/>
  <c r="T118" i="7"/>
  <c r="L119" i="7"/>
  <c r="M119" i="7"/>
  <c r="N119" i="7"/>
  <c r="O119" i="7"/>
  <c r="L120" i="7"/>
  <c r="M120" i="7"/>
  <c r="N120" i="7"/>
  <c r="O120" i="7"/>
  <c r="L121" i="7"/>
  <c r="M121" i="7"/>
  <c r="N121" i="7"/>
  <c r="O121" i="7"/>
  <c r="L122" i="7"/>
  <c r="M122" i="7"/>
  <c r="N122" i="7"/>
  <c r="O122" i="7"/>
  <c r="L123" i="7"/>
  <c r="M123" i="7"/>
  <c r="N123" i="7"/>
  <c r="O123" i="7"/>
  <c r="T123" i="7"/>
  <c r="L124" i="7"/>
  <c r="M124" i="7"/>
  <c r="N124" i="7"/>
  <c r="O124" i="7"/>
  <c r="L125" i="7"/>
  <c r="M125" i="7"/>
  <c r="N125" i="7"/>
  <c r="O125" i="7"/>
  <c r="L126" i="7"/>
  <c r="M126" i="7"/>
  <c r="N126" i="7"/>
  <c r="O126" i="7"/>
  <c r="T126" i="7"/>
  <c r="L127" i="7"/>
  <c r="M127" i="7"/>
  <c r="N127" i="7"/>
  <c r="O127" i="7"/>
  <c r="L128" i="7"/>
  <c r="M128" i="7"/>
  <c r="N128" i="7"/>
  <c r="O128" i="7"/>
  <c r="L129" i="7"/>
  <c r="M129" i="7"/>
  <c r="N129" i="7"/>
  <c r="O129" i="7"/>
  <c r="L130" i="7"/>
  <c r="M130" i="7"/>
  <c r="N130" i="7"/>
  <c r="O130" i="7"/>
  <c r="T130" i="7"/>
  <c r="Q132" i="1"/>
  <c r="U130" i="1"/>
  <c r="S130" i="1"/>
  <c r="U129" i="1"/>
  <c r="S129" i="1"/>
  <c r="U128" i="1"/>
  <c r="S128" i="1"/>
  <c r="U127" i="1"/>
  <c r="S127" i="1"/>
  <c r="U126" i="1"/>
  <c r="S126" i="1"/>
  <c r="U125" i="1"/>
  <c r="S125" i="1"/>
  <c r="U124" i="1"/>
  <c r="S124" i="1"/>
  <c r="U123" i="1"/>
  <c r="S123" i="1"/>
  <c r="U122" i="1"/>
  <c r="S122" i="1"/>
  <c r="U121" i="1"/>
  <c r="S121" i="1"/>
  <c r="U120" i="1"/>
  <c r="S120" i="1"/>
  <c r="U119" i="1"/>
  <c r="S119" i="1"/>
  <c r="U118" i="1"/>
  <c r="S118" i="1"/>
  <c r="U117" i="1"/>
  <c r="S117" i="1"/>
  <c r="U116" i="1"/>
  <c r="S116" i="1"/>
  <c r="U115" i="1"/>
  <c r="S115" i="1"/>
  <c r="Q109" i="1"/>
  <c r="Q107" i="1"/>
  <c r="S107" i="1"/>
  <c r="Q106" i="1"/>
  <c r="S106" i="1"/>
  <c r="Q105" i="1"/>
  <c r="S105" i="1"/>
  <c r="Q104" i="1"/>
  <c r="S104" i="1"/>
  <c r="U103" i="1"/>
  <c r="Q103" i="1"/>
  <c r="S103" i="1"/>
  <c r="Q102" i="1"/>
  <c r="S102" i="1"/>
  <c r="Q101" i="1"/>
  <c r="S101" i="1"/>
  <c r="Q100" i="1"/>
  <c r="Q99" i="1"/>
  <c r="S99" i="1"/>
  <c r="P75" i="9"/>
  <c r="Q94" i="1"/>
  <c r="Q92" i="1"/>
  <c r="Q91" i="1"/>
  <c r="Q86" i="1"/>
  <c r="S86" i="1"/>
  <c r="U85" i="1"/>
  <c r="S85" i="1"/>
  <c r="Q84" i="1"/>
  <c r="S84" i="1"/>
  <c r="Q83" i="1"/>
  <c r="Q82" i="1"/>
  <c r="G81" i="1"/>
  <c r="U81" i="1"/>
  <c r="Q81" i="1"/>
  <c r="S81" i="1"/>
  <c r="Q80" i="1"/>
  <c r="U75" i="1"/>
  <c r="S75" i="1"/>
  <c r="Q74" i="1"/>
  <c r="S74" i="1"/>
  <c r="Q73" i="1"/>
  <c r="S73" i="1"/>
  <c r="Q72" i="1"/>
  <c r="Q70" i="1"/>
  <c r="Q69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2" i="1"/>
  <c r="Q51" i="1"/>
  <c r="Q50" i="1"/>
  <c r="Q49" i="1"/>
  <c r="Q48" i="1"/>
  <c r="Q43" i="1"/>
  <c r="S43" i="1"/>
  <c r="Q42" i="1"/>
  <c r="S42" i="1"/>
  <c r="Q41" i="1"/>
  <c r="S41" i="1"/>
  <c r="Q40" i="1"/>
  <c r="Q39" i="1"/>
  <c r="S39" i="1"/>
  <c r="Q38" i="1"/>
  <c r="Q36" i="1"/>
  <c r="Q35" i="1"/>
  <c r="Q34" i="1"/>
  <c r="Q31" i="1"/>
  <c r="S31" i="1"/>
  <c r="Q30" i="1"/>
  <c r="S30" i="1"/>
  <c r="Q29" i="1"/>
  <c r="S29" i="1"/>
  <c r="Q28" i="1"/>
  <c r="S28" i="1"/>
  <c r="Q27" i="1"/>
  <c r="Q26" i="1"/>
  <c r="Q25" i="1"/>
  <c r="Q24" i="1"/>
  <c r="S24" i="1"/>
  <c r="Q23" i="1"/>
  <c r="Q22" i="1"/>
  <c r="Q21" i="1"/>
  <c r="Q20" i="1"/>
  <c r="U17" i="1"/>
  <c r="Q16" i="1"/>
  <c r="S16" i="1"/>
  <c r="Q15" i="1"/>
  <c r="Q14" i="1"/>
  <c r="Q13" i="1"/>
  <c r="Q12" i="1"/>
  <c r="Q11" i="1"/>
  <c r="S11" i="1"/>
  <c r="Q10" i="1"/>
  <c r="Q9" i="1"/>
  <c r="Q8" i="1"/>
  <c r="T162" i="7"/>
  <c r="T163" i="7"/>
  <c r="T165" i="7"/>
  <c r="U165" i="7"/>
  <c r="S165" i="7"/>
  <c r="U164" i="7"/>
  <c r="U163" i="7"/>
  <c r="S163" i="7"/>
  <c r="U162" i="7"/>
  <c r="S162" i="7"/>
  <c r="U161" i="7"/>
  <c r="T152" i="7"/>
  <c r="T153" i="7"/>
  <c r="T154" i="7"/>
  <c r="T155" i="7"/>
  <c r="S158" i="7"/>
  <c r="U156" i="7"/>
  <c r="S156" i="7"/>
  <c r="U155" i="7"/>
  <c r="S155" i="7"/>
  <c r="U154" i="7"/>
  <c r="S154" i="7"/>
  <c r="U153" i="7"/>
  <c r="S153" i="7"/>
  <c r="U152" i="7"/>
  <c r="S152" i="7"/>
  <c r="T145" i="7"/>
  <c r="T147" i="7"/>
  <c r="U147" i="7"/>
  <c r="S147" i="7"/>
  <c r="U146" i="7"/>
  <c r="S146" i="7"/>
  <c r="U145" i="7"/>
  <c r="S145" i="7"/>
  <c r="U144" i="7"/>
  <c r="S144" i="7"/>
  <c r="T134" i="7"/>
  <c r="S135" i="7"/>
  <c r="U134" i="7"/>
  <c r="S134" i="7"/>
  <c r="U132" i="7"/>
  <c r="T116" i="7"/>
  <c r="T121" i="7"/>
  <c r="T124" i="7"/>
  <c r="T128" i="7"/>
  <c r="T129" i="7"/>
  <c r="S132" i="7"/>
  <c r="U130" i="7"/>
  <c r="S130" i="7"/>
  <c r="U129" i="7"/>
  <c r="S129" i="7"/>
  <c r="U128" i="7"/>
  <c r="S128" i="7"/>
  <c r="U127" i="7"/>
  <c r="S127" i="7"/>
  <c r="U126" i="7"/>
  <c r="S126" i="7"/>
  <c r="U125" i="7"/>
  <c r="S125" i="7"/>
  <c r="U124" i="7"/>
  <c r="S124" i="7"/>
  <c r="U123" i="7"/>
  <c r="S123" i="7"/>
  <c r="U122" i="7"/>
  <c r="S122" i="7"/>
  <c r="U121" i="7"/>
  <c r="S121" i="7"/>
  <c r="U120" i="7"/>
  <c r="S120" i="7"/>
  <c r="U119" i="7"/>
  <c r="S119" i="7"/>
  <c r="U118" i="7"/>
  <c r="S118" i="7"/>
  <c r="U117" i="7"/>
  <c r="S117" i="7"/>
  <c r="U116" i="7"/>
  <c r="S116" i="7"/>
  <c r="U115" i="7"/>
  <c r="S115" i="7"/>
  <c r="T102" i="7"/>
  <c r="T103" i="7"/>
  <c r="T104" i="7"/>
  <c r="T105" i="7"/>
  <c r="T106" i="7"/>
  <c r="T107" i="7"/>
  <c r="U107" i="7"/>
  <c r="S107" i="7"/>
  <c r="U106" i="7"/>
  <c r="S106" i="7"/>
  <c r="U105" i="7"/>
  <c r="S105" i="7"/>
  <c r="U104" i="7"/>
  <c r="S104" i="7"/>
  <c r="U103" i="7"/>
  <c r="S103" i="7"/>
  <c r="U102" i="7"/>
  <c r="S102" i="7"/>
  <c r="T9" i="7"/>
  <c r="T10" i="7"/>
  <c r="T11" i="7"/>
  <c r="T12" i="7"/>
  <c r="T13" i="7"/>
  <c r="T14" i="7"/>
  <c r="T15" i="7"/>
  <c r="T16" i="7"/>
  <c r="T17" i="7"/>
  <c r="T21" i="7"/>
  <c r="T22" i="7"/>
  <c r="T23" i="7"/>
  <c r="T24" i="7"/>
  <c r="T25" i="7"/>
  <c r="T26" i="7"/>
  <c r="T27" i="7"/>
  <c r="T28" i="7"/>
  <c r="T29" i="7"/>
  <c r="T30" i="7"/>
  <c r="T31" i="7"/>
  <c r="T39" i="7"/>
  <c r="T42" i="7"/>
  <c r="T43" i="7"/>
  <c r="T48" i="7"/>
  <c r="T49" i="7"/>
  <c r="T51" i="7"/>
  <c r="T55" i="7"/>
  <c r="T56" i="7"/>
  <c r="T58" i="7"/>
  <c r="T59" i="7"/>
  <c r="T60" i="7"/>
  <c r="T61" i="7"/>
  <c r="T65" i="7"/>
  <c r="T74" i="7"/>
  <c r="T86" i="7"/>
  <c r="T92" i="7"/>
  <c r="U94" i="7"/>
  <c r="S94" i="7"/>
  <c r="U92" i="7"/>
  <c r="S92" i="7"/>
  <c r="U91" i="7"/>
  <c r="S91" i="7"/>
  <c r="U86" i="7"/>
  <c r="S86" i="7"/>
  <c r="U85" i="7"/>
  <c r="S85" i="7"/>
  <c r="U84" i="7"/>
  <c r="T84" i="7"/>
  <c r="S84" i="7"/>
  <c r="U81" i="7"/>
  <c r="S81" i="7"/>
  <c r="U75" i="7"/>
  <c r="S75" i="7"/>
  <c r="U74" i="7"/>
  <c r="U65" i="7"/>
  <c r="S65" i="7"/>
  <c r="U62" i="7"/>
  <c r="S62" i="7"/>
  <c r="U61" i="7"/>
  <c r="S61" i="7"/>
  <c r="U60" i="7"/>
  <c r="S60" i="7"/>
  <c r="U59" i="7"/>
  <c r="S59" i="7"/>
  <c r="U58" i="7"/>
  <c r="S58" i="7"/>
  <c r="U57" i="7"/>
  <c r="S57" i="7"/>
  <c r="U56" i="7"/>
  <c r="S56" i="7"/>
  <c r="U55" i="7"/>
  <c r="S55" i="7"/>
  <c r="U51" i="7"/>
  <c r="S51" i="7"/>
  <c r="U49" i="7"/>
  <c r="S49" i="7"/>
  <c r="U48" i="7"/>
  <c r="S48" i="7"/>
  <c r="U43" i="7"/>
  <c r="S43" i="7"/>
  <c r="U42" i="7"/>
  <c r="S42" i="7"/>
  <c r="U41" i="7"/>
  <c r="S41" i="7"/>
  <c r="U39" i="7"/>
  <c r="S39" i="7"/>
  <c r="S31" i="7"/>
  <c r="S30" i="7"/>
  <c r="S29" i="7"/>
  <c r="U28" i="7"/>
  <c r="S28" i="7"/>
  <c r="U27" i="7"/>
  <c r="S27" i="7"/>
  <c r="U26" i="7"/>
  <c r="S26" i="7"/>
  <c r="U25" i="7"/>
  <c r="S25" i="7"/>
  <c r="U24" i="7"/>
  <c r="S24" i="7"/>
  <c r="U23" i="7"/>
  <c r="S23" i="7"/>
  <c r="U22" i="7"/>
  <c r="S22" i="7"/>
  <c r="U21" i="7"/>
  <c r="S21" i="7"/>
  <c r="U20" i="7"/>
  <c r="S20" i="7"/>
  <c r="U17" i="7"/>
  <c r="U16" i="7"/>
  <c r="S16" i="7"/>
  <c r="U15" i="7"/>
  <c r="S15" i="7"/>
  <c r="U14" i="7"/>
  <c r="S14" i="7"/>
  <c r="U13" i="7"/>
  <c r="S13" i="7"/>
  <c r="U12" i="7"/>
  <c r="S12" i="7"/>
  <c r="U11" i="7"/>
  <c r="S11" i="7"/>
  <c r="U10" i="7"/>
  <c r="S10" i="7"/>
  <c r="U9" i="7"/>
  <c r="S9" i="7"/>
  <c r="U8" i="7"/>
  <c r="S8" i="7"/>
  <c r="U165" i="8"/>
  <c r="S165" i="8"/>
  <c r="U164" i="8"/>
  <c r="S164" i="8"/>
  <c r="U155" i="8"/>
  <c r="U152" i="8"/>
  <c r="S152" i="8"/>
  <c r="U146" i="8"/>
  <c r="S146" i="8"/>
  <c r="U145" i="8"/>
  <c r="S145" i="8"/>
  <c r="T134" i="8"/>
  <c r="U138" i="8"/>
  <c r="S138" i="8"/>
  <c r="U137" i="8"/>
  <c r="S137" i="8"/>
  <c r="U136" i="8"/>
  <c r="S136" i="8"/>
  <c r="U134" i="8"/>
  <c r="S134" i="8"/>
  <c r="U130" i="8"/>
  <c r="S130" i="8"/>
  <c r="U129" i="8"/>
  <c r="U128" i="8"/>
  <c r="S127" i="8"/>
  <c r="U126" i="8"/>
  <c r="S126" i="8"/>
  <c r="S125" i="8"/>
  <c r="S124" i="8"/>
  <c r="U123" i="8"/>
  <c r="S123" i="8"/>
  <c r="S122" i="8"/>
  <c r="U121" i="8"/>
  <c r="U120" i="8"/>
  <c r="U119" i="8"/>
  <c r="U118" i="8"/>
  <c r="U117" i="8"/>
  <c r="U116" i="8"/>
  <c r="U115" i="8"/>
  <c r="U107" i="8"/>
  <c r="S107" i="8"/>
  <c r="U106" i="8"/>
  <c r="S106" i="8"/>
  <c r="U105" i="8"/>
  <c r="S105" i="8"/>
  <c r="U104" i="8"/>
  <c r="S104" i="8"/>
  <c r="U103" i="8"/>
  <c r="S103" i="8"/>
  <c r="U102" i="8"/>
  <c r="S102" i="8"/>
  <c r="U100" i="8"/>
  <c r="S100" i="8"/>
  <c r="T31" i="8"/>
  <c r="T43" i="8"/>
  <c r="U91" i="8"/>
  <c r="S91" i="8"/>
  <c r="U86" i="8"/>
  <c r="S86" i="8"/>
  <c r="U85" i="8"/>
  <c r="S85" i="8"/>
  <c r="U84" i="8"/>
  <c r="S84" i="8"/>
  <c r="U82" i="8"/>
  <c r="S82" i="8"/>
  <c r="U81" i="8"/>
  <c r="S81" i="8"/>
  <c r="U75" i="8"/>
  <c r="S75" i="8"/>
  <c r="U74" i="8"/>
  <c r="S74" i="8"/>
  <c r="U73" i="8"/>
  <c r="S73" i="8"/>
  <c r="U72" i="8"/>
  <c r="S72" i="8"/>
  <c r="U70" i="8"/>
  <c r="S70" i="8"/>
  <c r="U69" i="8"/>
  <c r="S69" i="8"/>
  <c r="U67" i="8"/>
  <c r="S67" i="8"/>
  <c r="U66" i="8"/>
  <c r="S66" i="8"/>
  <c r="U65" i="8"/>
  <c r="S65" i="8"/>
  <c r="U64" i="8"/>
  <c r="S64" i="8"/>
  <c r="U63" i="8"/>
  <c r="S63" i="8"/>
  <c r="U61" i="8"/>
  <c r="S61" i="8"/>
  <c r="U60" i="8"/>
  <c r="S60" i="8"/>
  <c r="U50" i="8"/>
  <c r="S50" i="8"/>
  <c r="U49" i="8"/>
  <c r="S49" i="8"/>
  <c r="U43" i="8"/>
  <c r="S43" i="8"/>
  <c r="U42" i="8"/>
  <c r="S42" i="8"/>
  <c r="U41" i="8"/>
  <c r="S41" i="8"/>
  <c r="U40" i="8"/>
  <c r="S40" i="8"/>
  <c r="U39" i="8"/>
  <c r="S39" i="8"/>
  <c r="U38" i="8"/>
  <c r="S38" i="8"/>
  <c r="U36" i="8"/>
  <c r="S36" i="8"/>
  <c r="U35" i="8"/>
  <c r="S35" i="8"/>
  <c r="S34" i="8"/>
  <c r="S31" i="8"/>
  <c r="S30" i="8"/>
  <c r="S29" i="8"/>
  <c r="U28" i="8"/>
  <c r="S28" i="8"/>
  <c r="U27" i="8"/>
  <c r="S27" i="8"/>
  <c r="U26" i="8"/>
  <c r="S26" i="8"/>
  <c r="U25" i="8"/>
  <c r="S25" i="8"/>
  <c r="U24" i="8"/>
  <c r="S24" i="8"/>
  <c r="U23" i="8"/>
  <c r="S23" i="8"/>
  <c r="U22" i="8"/>
  <c r="S22" i="8"/>
  <c r="U21" i="8"/>
  <c r="S21" i="8"/>
  <c r="S20" i="8"/>
  <c r="U17" i="8"/>
  <c r="U16" i="8"/>
  <c r="S16" i="8"/>
  <c r="U11" i="8"/>
  <c r="S11" i="8"/>
  <c r="U164" i="9"/>
  <c r="U161" i="9"/>
  <c r="U155" i="9"/>
  <c r="U147" i="9"/>
  <c r="U146" i="9"/>
  <c r="U138" i="9"/>
  <c r="U137" i="9"/>
  <c r="U136" i="9"/>
  <c r="U134" i="9"/>
  <c r="U130" i="9"/>
  <c r="U128" i="9"/>
  <c r="U127" i="9"/>
  <c r="U126" i="9"/>
  <c r="U124" i="9"/>
  <c r="U123" i="9"/>
  <c r="U122" i="9"/>
  <c r="U121" i="9"/>
  <c r="U120" i="9"/>
  <c r="U119" i="9"/>
  <c r="U118" i="9"/>
  <c r="U117" i="9"/>
  <c r="U115" i="9"/>
  <c r="U107" i="9"/>
  <c r="U106" i="9"/>
  <c r="U105" i="9"/>
  <c r="U104" i="9"/>
  <c r="U103" i="9"/>
  <c r="U102" i="9"/>
  <c r="U101" i="9"/>
  <c r="U99" i="9"/>
  <c r="U92" i="9"/>
  <c r="U86" i="9"/>
  <c r="U85" i="9"/>
  <c r="U84" i="9"/>
  <c r="U83" i="9"/>
  <c r="U82" i="9"/>
  <c r="U81" i="9"/>
  <c r="U80" i="9"/>
  <c r="U75" i="9"/>
  <c r="U74" i="9"/>
  <c r="U73" i="9"/>
  <c r="U70" i="9"/>
  <c r="U69" i="9"/>
  <c r="U66" i="9"/>
  <c r="U64" i="9"/>
  <c r="U63" i="9"/>
  <c r="U55" i="9"/>
  <c r="U50" i="9"/>
  <c r="U48" i="9"/>
  <c r="U43" i="9"/>
  <c r="U42" i="9"/>
  <c r="U41" i="9"/>
  <c r="U40" i="9"/>
  <c r="U39" i="9"/>
  <c r="U38" i="9"/>
  <c r="U36" i="9"/>
  <c r="U35" i="9"/>
  <c r="U17" i="9"/>
  <c r="U16" i="9"/>
  <c r="U15" i="9"/>
  <c r="U14" i="9"/>
  <c r="U13" i="9"/>
  <c r="U12" i="9"/>
  <c r="U11" i="9"/>
  <c r="U10" i="9"/>
  <c r="U9" i="9"/>
  <c r="T31" i="9"/>
  <c r="S165" i="9"/>
  <c r="S164" i="9"/>
  <c r="S163" i="9"/>
  <c r="S156" i="9"/>
  <c r="S155" i="9"/>
  <c r="S154" i="9"/>
  <c r="S146" i="9"/>
  <c r="S145" i="9"/>
  <c r="S138" i="9"/>
  <c r="S137" i="9"/>
  <c r="S136" i="9"/>
  <c r="S134" i="9"/>
  <c r="S130" i="9"/>
  <c r="S129" i="9"/>
  <c r="S128" i="9"/>
  <c r="S127" i="9"/>
  <c r="S126" i="9"/>
  <c r="S125" i="9"/>
  <c r="S124" i="9"/>
  <c r="S123" i="9"/>
  <c r="S122" i="9"/>
  <c r="S121" i="9"/>
  <c r="S120" i="9"/>
  <c r="S116" i="9"/>
  <c r="S115" i="9"/>
  <c r="S107" i="9"/>
  <c r="S106" i="9"/>
  <c r="S105" i="9"/>
  <c r="S104" i="9"/>
  <c r="S103" i="9"/>
  <c r="S102" i="9"/>
  <c r="S101" i="9"/>
  <c r="S99" i="9"/>
  <c r="S92" i="9"/>
  <c r="S86" i="9"/>
  <c r="S85" i="9"/>
  <c r="S84" i="9"/>
  <c r="S83" i="9"/>
  <c r="S82" i="9"/>
  <c r="S81" i="9"/>
  <c r="S80" i="9"/>
  <c r="S75" i="9"/>
  <c r="S74" i="9"/>
  <c r="S73" i="9"/>
  <c r="S70" i="9"/>
  <c r="S69" i="9"/>
  <c r="S67" i="9"/>
  <c r="S66" i="9"/>
  <c r="S64" i="9"/>
  <c r="S63" i="9"/>
  <c r="S50" i="9"/>
  <c r="S48" i="9"/>
  <c r="S43" i="9"/>
  <c r="S42" i="9"/>
  <c r="S41" i="9"/>
  <c r="S40" i="9"/>
  <c r="S39" i="9"/>
  <c r="S38" i="9"/>
  <c r="S36" i="9"/>
  <c r="S35" i="9"/>
  <c r="S34" i="9"/>
  <c r="S31" i="9"/>
  <c r="S30" i="9"/>
  <c r="S29" i="9"/>
  <c r="S28" i="9"/>
  <c r="S24" i="9"/>
  <c r="S16" i="9"/>
  <c r="S15" i="9"/>
  <c r="S14" i="9"/>
  <c r="S13" i="9"/>
  <c r="S12" i="9"/>
  <c r="S11" i="9"/>
  <c r="S9" i="9"/>
  <c r="S10" i="9"/>
  <c r="S8" i="9"/>
  <c r="R31" i="9"/>
  <c r="L80" i="9"/>
  <c r="H23" i="15"/>
  <c r="I23" i="15"/>
  <c r="O34" i="9"/>
  <c r="M11" i="15"/>
  <c r="L19" i="15"/>
  <c r="L20" i="15"/>
  <c r="N20" i="15"/>
  <c r="O20" i="15"/>
  <c r="H29" i="15"/>
  <c r="M29" i="15"/>
  <c r="M15" i="12"/>
  <c r="N15" i="12"/>
  <c r="M22" i="12"/>
  <c r="N22" i="12"/>
  <c r="M29" i="12"/>
  <c r="N29" i="12"/>
  <c r="M31" i="12"/>
  <c r="N31" i="12"/>
  <c r="M37" i="12"/>
  <c r="N37" i="12"/>
  <c r="M43" i="12"/>
  <c r="N43" i="12"/>
  <c r="M55" i="12"/>
  <c r="N55" i="12"/>
  <c r="R43" i="9"/>
  <c r="T43" i="9"/>
  <c r="L47" i="9"/>
  <c r="P86" i="9"/>
  <c r="R134" i="9"/>
  <c r="T134" i="9"/>
  <c r="L140" i="9"/>
  <c r="N149" i="9"/>
  <c r="R154" i="9"/>
  <c r="M167" i="9"/>
  <c r="O167" i="9"/>
  <c r="H7" i="14"/>
  <c r="L80" i="8"/>
  <c r="I20" i="14"/>
  <c r="I20" i="3"/>
  <c r="J20" i="14"/>
  <c r="O7" i="14"/>
  <c r="M11" i="14"/>
  <c r="M11" i="3"/>
  <c r="L19" i="14"/>
  <c r="M21" i="14"/>
  <c r="H29" i="14"/>
  <c r="I29" i="14"/>
  <c r="J29" i="14"/>
  <c r="M29" i="14"/>
  <c r="M15" i="11"/>
  <c r="M22" i="11"/>
  <c r="N22" i="11"/>
  <c r="M29" i="11"/>
  <c r="N29" i="11"/>
  <c r="M37" i="11"/>
  <c r="M43" i="11"/>
  <c r="N43" i="11"/>
  <c r="M55" i="11"/>
  <c r="N55" i="11"/>
  <c r="M62" i="11"/>
  <c r="N62" i="11"/>
  <c r="M64" i="11"/>
  <c r="R31" i="8"/>
  <c r="R43" i="8"/>
  <c r="P86" i="8"/>
  <c r="T86" i="8"/>
  <c r="P91" i="8"/>
  <c r="T91" i="8"/>
  <c r="M94" i="8"/>
  <c r="M94" i="7"/>
  <c r="R134" i="8"/>
  <c r="O140" i="7"/>
  <c r="H7" i="13"/>
  <c r="H16" i="13"/>
  <c r="H16" i="3"/>
  <c r="L8" i="7"/>
  <c r="H23" i="13"/>
  <c r="M20" i="7"/>
  <c r="I43" i="10"/>
  <c r="N43" i="10"/>
  <c r="J16" i="13"/>
  <c r="J19" i="3"/>
  <c r="L11" i="13"/>
  <c r="N11" i="13"/>
  <c r="O11" i="13"/>
  <c r="K16" i="13"/>
  <c r="K16" i="3"/>
  <c r="M19" i="13"/>
  <c r="M20" i="13"/>
  <c r="M20" i="3"/>
  <c r="L21" i="13"/>
  <c r="O21" i="13"/>
  <c r="K29" i="13"/>
  <c r="L29" i="13"/>
  <c r="M29" i="13"/>
  <c r="M10" i="10"/>
  <c r="M11" i="10"/>
  <c r="H22" i="10"/>
  <c r="H22" i="2"/>
  <c r="I22" i="10"/>
  <c r="J22" i="10"/>
  <c r="K22" i="10"/>
  <c r="M22" i="10"/>
  <c r="N22" i="10"/>
  <c r="H29" i="10"/>
  <c r="I29" i="10"/>
  <c r="J29" i="10"/>
  <c r="J31" i="10"/>
  <c r="K29" i="10"/>
  <c r="K31" i="10"/>
  <c r="K37" i="10"/>
  <c r="K45" i="10"/>
  <c r="K62" i="10"/>
  <c r="K64" i="10"/>
  <c r="K66" i="10"/>
  <c r="M29" i="10"/>
  <c r="N29" i="10"/>
  <c r="M34" i="10"/>
  <c r="H37" i="10"/>
  <c r="M37" i="10"/>
  <c r="I37" i="10"/>
  <c r="J37" i="10"/>
  <c r="N37" i="10"/>
  <c r="M43" i="10"/>
  <c r="M55" i="10"/>
  <c r="N55" i="10"/>
  <c r="I62" i="10"/>
  <c r="I64" i="10"/>
  <c r="M58" i="10"/>
  <c r="M59" i="10"/>
  <c r="H62" i="10"/>
  <c r="H64" i="10"/>
  <c r="H84" i="10"/>
  <c r="I84" i="10"/>
  <c r="J84" i="10"/>
  <c r="K84" i="10"/>
  <c r="R9" i="7"/>
  <c r="R10" i="7"/>
  <c r="R11" i="7"/>
  <c r="R12" i="7"/>
  <c r="R13" i="7"/>
  <c r="R14" i="7"/>
  <c r="R15" i="7"/>
  <c r="R16" i="7"/>
  <c r="R17" i="7"/>
  <c r="R21" i="7"/>
  <c r="R22" i="7"/>
  <c r="R23" i="7"/>
  <c r="R24" i="7"/>
  <c r="R25" i="7"/>
  <c r="R26" i="7"/>
  <c r="R27" i="7"/>
  <c r="R28" i="7"/>
  <c r="R29" i="7"/>
  <c r="R30" i="7"/>
  <c r="R31" i="7"/>
  <c r="H34" i="1"/>
  <c r="R37" i="7"/>
  <c r="R39" i="7"/>
  <c r="R42" i="7"/>
  <c r="R43" i="7"/>
  <c r="R48" i="7"/>
  <c r="R49" i="7"/>
  <c r="R51" i="7"/>
  <c r="R55" i="7"/>
  <c r="R56" i="7"/>
  <c r="R58" i="7"/>
  <c r="R59" i="7"/>
  <c r="R60" i="7"/>
  <c r="R61" i="7"/>
  <c r="R65" i="7"/>
  <c r="R74" i="7"/>
  <c r="R84" i="7"/>
  <c r="R86" i="7"/>
  <c r="R91" i="7"/>
  <c r="R92" i="7"/>
  <c r="L94" i="7"/>
  <c r="N94" i="7"/>
  <c r="O94" i="7"/>
  <c r="R102" i="7"/>
  <c r="R103" i="7"/>
  <c r="R104" i="7"/>
  <c r="R105" i="7"/>
  <c r="R106" i="7"/>
  <c r="R107" i="7"/>
  <c r="L109" i="7"/>
  <c r="O109" i="7"/>
  <c r="R115" i="7"/>
  <c r="R116" i="7"/>
  <c r="R118" i="7"/>
  <c r="R121" i="7"/>
  <c r="R123" i="7"/>
  <c r="R124" i="7"/>
  <c r="R126" i="7"/>
  <c r="R128" i="7"/>
  <c r="R129" i="7"/>
  <c r="R130" i="7"/>
  <c r="L132" i="7"/>
  <c r="R134" i="7"/>
  <c r="N140" i="7"/>
  <c r="R145" i="7"/>
  <c r="R147" i="7"/>
  <c r="M149" i="7"/>
  <c r="R152" i="7"/>
  <c r="R153" i="7"/>
  <c r="R154" i="7"/>
  <c r="R155" i="7"/>
  <c r="M158" i="7"/>
  <c r="R162" i="7"/>
  <c r="R163" i="7"/>
  <c r="R165" i="7"/>
  <c r="L167" i="7"/>
  <c r="G7" i="3"/>
  <c r="G9" i="3"/>
  <c r="G11" i="3"/>
  <c r="G13" i="3"/>
  <c r="M13" i="3"/>
  <c r="G16" i="3"/>
  <c r="M16" i="3"/>
  <c r="G19" i="3"/>
  <c r="M19" i="3"/>
  <c r="G20" i="3"/>
  <c r="G21" i="3"/>
  <c r="G31" i="2"/>
  <c r="G29" i="3"/>
  <c r="L31" i="2"/>
  <c r="M29" i="3"/>
  <c r="G10" i="2"/>
  <c r="H10" i="2"/>
  <c r="I10" i="2"/>
  <c r="J10" i="2"/>
  <c r="L10" i="2"/>
  <c r="K10" i="2"/>
  <c r="G11" i="2"/>
  <c r="H11" i="2"/>
  <c r="I11" i="2"/>
  <c r="J11" i="2"/>
  <c r="L11" i="2"/>
  <c r="K11" i="2"/>
  <c r="G12" i="2"/>
  <c r="H12" i="2"/>
  <c r="I12" i="2"/>
  <c r="J12" i="2"/>
  <c r="K12" i="2"/>
  <c r="L12" i="2"/>
  <c r="G15" i="2"/>
  <c r="K15" i="2"/>
  <c r="L15" i="2"/>
  <c r="G17" i="2"/>
  <c r="H17" i="2"/>
  <c r="I17" i="2"/>
  <c r="J17" i="2"/>
  <c r="K17" i="2"/>
  <c r="L17" i="2"/>
  <c r="G18" i="2"/>
  <c r="H18" i="2"/>
  <c r="I18" i="2"/>
  <c r="J18" i="2"/>
  <c r="K18" i="2"/>
  <c r="L18" i="2"/>
  <c r="G22" i="2"/>
  <c r="I22" i="2"/>
  <c r="L22" i="2"/>
  <c r="G24" i="2"/>
  <c r="H24" i="2"/>
  <c r="I24" i="2"/>
  <c r="J24" i="2"/>
  <c r="K24" i="2"/>
  <c r="L24" i="2"/>
  <c r="G25" i="2"/>
  <c r="H25" i="2"/>
  <c r="I25" i="2"/>
  <c r="J25" i="2"/>
  <c r="K25" i="2"/>
  <c r="L25" i="2"/>
  <c r="G26" i="2"/>
  <c r="H26" i="2"/>
  <c r="I26" i="2"/>
  <c r="J26" i="2"/>
  <c r="L26" i="2"/>
  <c r="K26" i="2"/>
  <c r="G27" i="2"/>
  <c r="H27" i="2"/>
  <c r="I27" i="2"/>
  <c r="J27" i="2"/>
  <c r="L27" i="2"/>
  <c r="K27" i="2"/>
  <c r="G29" i="2"/>
  <c r="H29" i="2"/>
  <c r="K29" i="2"/>
  <c r="L29" i="2"/>
  <c r="G34" i="2"/>
  <c r="H34" i="2"/>
  <c r="I34" i="2"/>
  <c r="J34" i="2"/>
  <c r="L34" i="2"/>
  <c r="K34" i="2"/>
  <c r="G37" i="2"/>
  <c r="J37" i="2"/>
  <c r="L37" i="2"/>
  <c r="K37" i="2"/>
  <c r="H37" i="2"/>
  <c r="G40" i="2"/>
  <c r="H40" i="2"/>
  <c r="I40" i="2"/>
  <c r="J40" i="2"/>
  <c r="K40" i="2"/>
  <c r="L40" i="2"/>
  <c r="G41" i="2"/>
  <c r="H41" i="2"/>
  <c r="I41" i="2"/>
  <c r="J41" i="2"/>
  <c r="K41" i="2"/>
  <c r="L41" i="2"/>
  <c r="G43" i="2"/>
  <c r="L43" i="2"/>
  <c r="K43" i="2"/>
  <c r="G45" i="2"/>
  <c r="G48" i="2"/>
  <c r="H48" i="2"/>
  <c r="I48" i="2"/>
  <c r="J48" i="2"/>
  <c r="K48" i="2"/>
  <c r="L48" i="2"/>
  <c r="G49" i="2"/>
  <c r="H49" i="2"/>
  <c r="I49" i="2"/>
  <c r="J49" i="2"/>
  <c r="K49" i="2"/>
  <c r="L49" i="2"/>
  <c r="H50" i="2"/>
  <c r="I50" i="2"/>
  <c r="J50" i="2"/>
  <c r="K50" i="2"/>
  <c r="L50" i="2"/>
  <c r="G51" i="2"/>
  <c r="H51" i="2"/>
  <c r="I51" i="2"/>
  <c r="J51" i="2"/>
  <c r="K51" i="2"/>
  <c r="L51" i="2"/>
  <c r="G52" i="2"/>
  <c r="H52" i="2"/>
  <c r="I52" i="2"/>
  <c r="J52" i="2"/>
  <c r="K52" i="2"/>
  <c r="L52" i="2"/>
  <c r="G55" i="2"/>
  <c r="H55" i="2"/>
  <c r="I55" i="2"/>
  <c r="L55" i="2"/>
  <c r="G58" i="2"/>
  <c r="H58" i="2"/>
  <c r="I58" i="2"/>
  <c r="J58" i="2"/>
  <c r="K58" i="2"/>
  <c r="L58" i="2"/>
  <c r="G59" i="2"/>
  <c r="H59" i="2"/>
  <c r="I59" i="2"/>
  <c r="J59" i="2"/>
  <c r="K59" i="2"/>
  <c r="L59" i="2"/>
  <c r="G60" i="2"/>
  <c r="L60" i="2"/>
  <c r="L62" i="2"/>
  <c r="L64" i="2"/>
  <c r="G71" i="2"/>
  <c r="H71" i="2"/>
  <c r="I71" i="2"/>
  <c r="J71" i="2"/>
  <c r="K71" i="2"/>
  <c r="G72" i="2"/>
  <c r="H72" i="2"/>
  <c r="I72" i="2"/>
  <c r="J72" i="2"/>
  <c r="K72" i="2"/>
  <c r="G73" i="2"/>
  <c r="H73" i="2"/>
  <c r="I73" i="2"/>
  <c r="J73" i="2"/>
  <c r="K73" i="2"/>
  <c r="K74" i="2"/>
  <c r="K75" i="2"/>
  <c r="K76" i="2"/>
  <c r="K77" i="2"/>
  <c r="K78" i="2"/>
  <c r="K79" i="2"/>
  <c r="K80" i="2"/>
  <c r="K81" i="2"/>
  <c r="K82" i="2"/>
  <c r="G74" i="2"/>
  <c r="H74" i="2"/>
  <c r="I74" i="2"/>
  <c r="J74" i="2"/>
  <c r="G75" i="2"/>
  <c r="H75" i="2"/>
  <c r="I75" i="2"/>
  <c r="J75" i="2"/>
  <c r="G76" i="2"/>
  <c r="H76" i="2"/>
  <c r="I76" i="2"/>
  <c r="J76" i="2"/>
  <c r="G77" i="2"/>
  <c r="H77" i="2"/>
  <c r="I77" i="2"/>
  <c r="J77" i="2"/>
  <c r="G78" i="2"/>
  <c r="H78" i="2"/>
  <c r="I78" i="2"/>
  <c r="J78" i="2"/>
  <c r="G79" i="2"/>
  <c r="H79" i="2"/>
  <c r="I79" i="2"/>
  <c r="J79" i="2"/>
  <c r="G80" i="2"/>
  <c r="H80" i="2"/>
  <c r="I80" i="2"/>
  <c r="J80" i="2"/>
  <c r="G81" i="2"/>
  <c r="H81" i="2"/>
  <c r="I81" i="2"/>
  <c r="J81" i="2"/>
  <c r="I82" i="2"/>
  <c r="J82" i="2"/>
  <c r="H8" i="1"/>
  <c r="Q17" i="1"/>
  <c r="H9" i="1"/>
  <c r="I9" i="1"/>
  <c r="J9" i="1"/>
  <c r="K9" i="1"/>
  <c r="H10" i="1"/>
  <c r="I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L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L17" i="1"/>
  <c r="I20" i="1"/>
  <c r="J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L31" i="1"/>
  <c r="M31" i="1"/>
  <c r="N31" i="1"/>
  <c r="O31" i="1"/>
  <c r="H35" i="1"/>
  <c r="I35" i="1"/>
  <c r="J35" i="1"/>
  <c r="K35" i="1"/>
  <c r="N35" i="1"/>
  <c r="H36" i="1"/>
  <c r="I36" i="1"/>
  <c r="J36" i="1"/>
  <c r="K36" i="1"/>
  <c r="L36" i="1"/>
  <c r="M36" i="1"/>
  <c r="H37" i="1"/>
  <c r="I37" i="1"/>
  <c r="J37" i="1"/>
  <c r="K37" i="1"/>
  <c r="L37" i="1"/>
  <c r="M37" i="1"/>
  <c r="H38" i="1"/>
  <c r="I38" i="1"/>
  <c r="J38" i="1"/>
  <c r="K38" i="1"/>
  <c r="H39" i="1"/>
  <c r="I39" i="1"/>
  <c r="J39" i="1"/>
  <c r="K39" i="1"/>
  <c r="H40" i="1"/>
  <c r="I40" i="1"/>
  <c r="J40" i="1"/>
  <c r="K40" i="1"/>
  <c r="O40" i="1"/>
  <c r="H41" i="1"/>
  <c r="I41" i="1"/>
  <c r="J41" i="1"/>
  <c r="H42" i="1"/>
  <c r="I42" i="1"/>
  <c r="J42" i="1"/>
  <c r="K42" i="1"/>
  <c r="M42" i="1"/>
  <c r="O42" i="1"/>
  <c r="H43" i="1"/>
  <c r="I43" i="1"/>
  <c r="J43" i="1"/>
  <c r="K43" i="1"/>
  <c r="L43" i="1"/>
  <c r="M43" i="1"/>
  <c r="N43" i="1"/>
  <c r="O43" i="1"/>
  <c r="H48" i="1"/>
  <c r="I48" i="1"/>
  <c r="J48" i="1"/>
  <c r="K48" i="1"/>
  <c r="M48" i="1"/>
  <c r="H49" i="1"/>
  <c r="I49" i="1"/>
  <c r="J49" i="1"/>
  <c r="K49" i="1"/>
  <c r="L49" i="1"/>
  <c r="N49" i="1"/>
  <c r="H50" i="1"/>
  <c r="I50" i="1"/>
  <c r="J50" i="1"/>
  <c r="K50" i="1"/>
  <c r="H51" i="1"/>
  <c r="I51" i="1"/>
  <c r="J51" i="1"/>
  <c r="K51" i="1"/>
  <c r="K53" i="1"/>
  <c r="H55" i="1"/>
  <c r="I55" i="1"/>
  <c r="J55" i="1"/>
  <c r="K55" i="1"/>
  <c r="O55" i="1"/>
  <c r="H56" i="1"/>
  <c r="I56" i="1"/>
  <c r="J56" i="1"/>
  <c r="K56" i="1"/>
  <c r="H57" i="1"/>
  <c r="I57" i="1"/>
  <c r="J57" i="1"/>
  <c r="K57" i="1"/>
  <c r="O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L62" i="1"/>
  <c r="M62" i="1"/>
  <c r="H63" i="1"/>
  <c r="I63" i="1"/>
  <c r="J63" i="1"/>
  <c r="K63" i="1"/>
  <c r="H64" i="1"/>
  <c r="I64" i="1"/>
  <c r="J64" i="1"/>
  <c r="K64" i="1"/>
  <c r="L64" i="1"/>
  <c r="H65" i="1"/>
  <c r="I65" i="1"/>
  <c r="J65" i="1"/>
  <c r="K65" i="1"/>
  <c r="H66" i="1"/>
  <c r="I66" i="1"/>
  <c r="J66" i="1"/>
  <c r="K66" i="1"/>
  <c r="H67" i="1"/>
  <c r="I67" i="1"/>
  <c r="J67" i="1"/>
  <c r="K67" i="1"/>
  <c r="L67" i="1"/>
  <c r="O67" i="1"/>
  <c r="H69" i="1"/>
  <c r="I69" i="1"/>
  <c r="J69" i="1"/>
  <c r="K69" i="1"/>
  <c r="L69" i="1"/>
  <c r="H70" i="1"/>
  <c r="I70" i="1"/>
  <c r="J70" i="1"/>
  <c r="K70" i="1"/>
  <c r="L70" i="1"/>
  <c r="M70" i="1"/>
  <c r="H71" i="1"/>
  <c r="I71" i="1"/>
  <c r="J71" i="1"/>
  <c r="K71" i="1"/>
  <c r="L71" i="1"/>
  <c r="M71" i="1"/>
  <c r="O71" i="1"/>
  <c r="H72" i="1"/>
  <c r="I72" i="1"/>
  <c r="J72" i="1"/>
  <c r="K72" i="1"/>
  <c r="O72" i="1"/>
  <c r="H73" i="1"/>
  <c r="I73" i="1"/>
  <c r="J73" i="1"/>
  <c r="K73" i="1"/>
  <c r="L73" i="1"/>
  <c r="O73" i="1"/>
  <c r="H74" i="1"/>
  <c r="I74" i="1"/>
  <c r="J74" i="1"/>
  <c r="K74" i="1"/>
  <c r="L74" i="1"/>
  <c r="M74" i="1"/>
  <c r="I80" i="1"/>
  <c r="J80" i="1"/>
  <c r="H81" i="1"/>
  <c r="I81" i="1"/>
  <c r="J81" i="1"/>
  <c r="K81" i="1"/>
  <c r="L81" i="1"/>
  <c r="M81" i="1"/>
  <c r="N81" i="1"/>
  <c r="O81" i="1"/>
  <c r="P81" i="1"/>
  <c r="H82" i="1"/>
  <c r="I82" i="1"/>
  <c r="J82" i="1"/>
  <c r="K82" i="1"/>
  <c r="L82" i="1"/>
  <c r="O82" i="1"/>
  <c r="H83" i="1"/>
  <c r="I83" i="1"/>
  <c r="J83" i="1"/>
  <c r="K83" i="1"/>
  <c r="L83" i="1"/>
  <c r="H84" i="1"/>
  <c r="I84" i="1"/>
  <c r="J84" i="1"/>
  <c r="K84" i="1"/>
  <c r="L84" i="1"/>
  <c r="O84" i="1"/>
  <c r="H86" i="1"/>
  <c r="I86" i="1"/>
  <c r="J86" i="1"/>
  <c r="K86" i="1"/>
  <c r="L86" i="1"/>
  <c r="M86" i="1"/>
  <c r="N86" i="1"/>
  <c r="H92" i="1"/>
  <c r="I92" i="1"/>
  <c r="J92" i="1"/>
  <c r="K92" i="1"/>
  <c r="M92" i="1"/>
  <c r="H99" i="1"/>
  <c r="I99" i="1"/>
  <c r="J99" i="1"/>
  <c r="K99" i="1"/>
  <c r="H100" i="1"/>
  <c r="I100" i="1"/>
  <c r="J100" i="1"/>
  <c r="K100" i="1"/>
  <c r="L100" i="1"/>
  <c r="M100" i="1"/>
  <c r="O100" i="1"/>
  <c r="H101" i="1"/>
  <c r="I101" i="1"/>
  <c r="J101" i="1"/>
  <c r="K101" i="1"/>
  <c r="N101" i="1"/>
  <c r="H102" i="1"/>
  <c r="I102" i="1"/>
  <c r="J102" i="1"/>
  <c r="K102" i="1"/>
  <c r="H103" i="1"/>
  <c r="I103" i="1"/>
  <c r="J103" i="1"/>
  <c r="K103" i="1"/>
  <c r="L103" i="1"/>
  <c r="N103" i="1"/>
  <c r="O103" i="1"/>
  <c r="H104" i="1"/>
  <c r="I104" i="1"/>
  <c r="J104" i="1"/>
  <c r="K104" i="1"/>
  <c r="H105" i="1"/>
  <c r="I105" i="1"/>
  <c r="J105" i="1"/>
  <c r="K105" i="1"/>
  <c r="O105" i="1"/>
  <c r="H106" i="1"/>
  <c r="I106" i="1"/>
  <c r="J106" i="1"/>
  <c r="K106" i="1"/>
  <c r="L106" i="1"/>
  <c r="O106" i="1"/>
  <c r="H107" i="1"/>
  <c r="I107" i="1"/>
  <c r="J107" i="1"/>
  <c r="K107" i="1"/>
  <c r="O107" i="1"/>
  <c r="I109" i="1"/>
  <c r="K109" i="1"/>
  <c r="K132" i="1"/>
  <c r="R132" i="1"/>
  <c r="R134" i="1"/>
  <c r="H135" i="1"/>
  <c r="I135" i="1"/>
  <c r="J135" i="1"/>
  <c r="K135" i="1"/>
  <c r="H136" i="1"/>
  <c r="I136" i="1"/>
  <c r="J136" i="1"/>
  <c r="K136" i="1"/>
  <c r="M136" i="1"/>
  <c r="H137" i="1"/>
  <c r="I137" i="1"/>
  <c r="J137" i="1"/>
  <c r="K137" i="1"/>
  <c r="O137" i="1"/>
  <c r="H138" i="1"/>
  <c r="I138" i="1"/>
  <c r="J138" i="1"/>
  <c r="K138" i="1"/>
  <c r="M138" i="1"/>
  <c r="K140" i="1"/>
  <c r="H143" i="1"/>
  <c r="I143" i="1"/>
  <c r="J143" i="1"/>
  <c r="K143" i="1"/>
  <c r="H144" i="1"/>
  <c r="I144" i="1"/>
  <c r="J144" i="1"/>
  <c r="K144" i="1"/>
  <c r="O144" i="1"/>
  <c r="H145" i="1"/>
  <c r="I145" i="1"/>
  <c r="J145" i="1"/>
  <c r="K145" i="1"/>
  <c r="N145" i="1"/>
  <c r="H146" i="1"/>
  <c r="I146" i="1"/>
  <c r="J146" i="1"/>
  <c r="K146" i="1"/>
  <c r="L146" i="1"/>
  <c r="R147" i="1"/>
  <c r="I149" i="1"/>
  <c r="K149" i="1"/>
  <c r="H152" i="1"/>
  <c r="I152" i="1"/>
  <c r="J152" i="1"/>
  <c r="K152" i="1"/>
  <c r="L152" i="1"/>
  <c r="H153" i="1"/>
  <c r="I153" i="1"/>
  <c r="J153" i="1"/>
  <c r="K153" i="1"/>
  <c r="H154" i="1"/>
  <c r="I154" i="1"/>
  <c r="J154" i="1"/>
  <c r="K154" i="1"/>
  <c r="L154" i="1"/>
  <c r="H155" i="1"/>
  <c r="I155" i="1"/>
  <c r="J155" i="1"/>
  <c r="K155" i="1"/>
  <c r="N155" i="1"/>
  <c r="H156" i="1"/>
  <c r="I156" i="1"/>
  <c r="J156" i="1"/>
  <c r="K156" i="1"/>
  <c r="M156" i="1"/>
  <c r="O156" i="1"/>
  <c r="H157" i="1"/>
  <c r="I157" i="1"/>
  <c r="J157" i="1"/>
  <c r="K157" i="1"/>
  <c r="L157" i="1"/>
  <c r="M157" i="1"/>
  <c r="O157" i="1"/>
  <c r="Q157" i="1"/>
  <c r="I158" i="1"/>
  <c r="K158" i="1"/>
  <c r="H161" i="1"/>
  <c r="I161" i="1"/>
  <c r="J161" i="1"/>
  <c r="K161" i="1"/>
  <c r="O161" i="1"/>
  <c r="H162" i="1"/>
  <c r="I162" i="1"/>
  <c r="J162" i="1"/>
  <c r="K162" i="1"/>
  <c r="N162" i="1"/>
  <c r="O162" i="1"/>
  <c r="H163" i="1"/>
  <c r="I163" i="1"/>
  <c r="J163" i="1"/>
  <c r="K163" i="1"/>
  <c r="M163" i="1"/>
  <c r="N163" i="1"/>
  <c r="H164" i="1"/>
  <c r="I164" i="1"/>
  <c r="J164" i="1"/>
  <c r="K164" i="1"/>
  <c r="H165" i="1"/>
  <c r="I165" i="1"/>
  <c r="J165" i="1"/>
  <c r="K165" i="1"/>
  <c r="I167" i="1"/>
  <c r="J167" i="1"/>
  <c r="M60" i="10"/>
  <c r="J62" i="10"/>
  <c r="J64" i="10"/>
  <c r="H29" i="13"/>
  <c r="T120" i="7"/>
  <c r="R120" i="7"/>
  <c r="U122" i="8"/>
  <c r="I29" i="2"/>
  <c r="M61" i="1"/>
  <c r="M18" i="2"/>
  <c r="H20" i="1"/>
  <c r="J29" i="13"/>
  <c r="J15" i="2"/>
  <c r="N19" i="14"/>
  <c r="S128" i="8"/>
  <c r="N19" i="15"/>
  <c r="O19" i="15"/>
  <c r="T115" i="7"/>
  <c r="T91" i="7"/>
  <c r="P129" i="8"/>
  <c r="U8" i="9"/>
  <c r="L132" i="9"/>
  <c r="L91" i="9"/>
  <c r="N52" i="7"/>
  <c r="K60" i="2"/>
  <c r="N52" i="9"/>
  <c r="P100" i="8"/>
  <c r="R100" i="8"/>
  <c r="H60" i="2"/>
  <c r="J10" i="1"/>
  <c r="L162" i="9"/>
  <c r="I60" i="2"/>
  <c r="S153" i="9"/>
  <c r="T146" i="7"/>
  <c r="R146" i="7"/>
  <c r="T144" i="7"/>
  <c r="R144" i="7"/>
  <c r="T71" i="7"/>
  <c r="P71" i="1"/>
  <c r="R71" i="7"/>
  <c r="T117" i="7"/>
  <c r="R117" i="7"/>
  <c r="T62" i="7"/>
  <c r="R62" i="7"/>
  <c r="S129" i="8"/>
  <c r="K62" i="2"/>
  <c r="U124" i="8"/>
  <c r="T122" i="7"/>
  <c r="R122" i="7"/>
  <c r="S144" i="9"/>
  <c r="U135" i="7"/>
  <c r="U125" i="9"/>
  <c r="S147" i="9"/>
  <c r="T125" i="7"/>
  <c r="R125" i="7"/>
  <c r="T119" i="7"/>
  <c r="R119" i="7"/>
  <c r="L45" i="2"/>
  <c r="G62" i="2"/>
  <c r="T156" i="7"/>
  <c r="R156" i="7"/>
  <c r="U129" i="9"/>
  <c r="R72" i="7"/>
  <c r="T72" i="7"/>
  <c r="T127" i="7"/>
  <c r="R127" i="7"/>
  <c r="S61" i="9"/>
  <c r="U61" i="9"/>
  <c r="T57" i="7"/>
  <c r="R57" i="7"/>
  <c r="S117" i="9"/>
  <c r="G64" i="2"/>
  <c r="J60" i="2"/>
  <c r="M9" i="14"/>
  <c r="S162" i="9"/>
  <c r="H62" i="2"/>
  <c r="M9" i="15"/>
  <c r="M62" i="12"/>
  <c r="N62" i="12"/>
  <c r="J62" i="2"/>
  <c r="M64" i="12"/>
  <c r="N64" i="12"/>
  <c r="O167" i="7"/>
  <c r="O68" i="7"/>
  <c r="K68" i="7"/>
  <c r="K54" i="1"/>
  <c r="O54" i="7"/>
  <c r="M41" i="1"/>
  <c r="P41" i="7"/>
  <c r="J13" i="3"/>
  <c r="N62" i="10"/>
  <c r="O132" i="8"/>
  <c r="K11" i="14"/>
  <c r="O74" i="1"/>
  <c r="P155" i="8"/>
  <c r="R155" i="8"/>
  <c r="O63" i="1"/>
  <c r="O101" i="1"/>
  <c r="P124" i="8"/>
  <c r="T124" i="8"/>
  <c r="O49" i="1"/>
  <c r="J45" i="10"/>
  <c r="J66" i="10"/>
  <c r="P73" i="7"/>
  <c r="P143" i="7"/>
  <c r="P100" i="7"/>
  <c r="P101" i="7"/>
  <c r="K19" i="3"/>
  <c r="P99" i="7"/>
  <c r="P64" i="7"/>
  <c r="P69" i="7"/>
  <c r="N167" i="7"/>
  <c r="P138" i="7"/>
  <c r="O54" i="1"/>
  <c r="P137" i="7"/>
  <c r="P136" i="7"/>
  <c r="P161" i="7"/>
  <c r="P67" i="7"/>
  <c r="P66" i="7"/>
  <c r="P83" i="7"/>
  <c r="P40" i="7"/>
  <c r="P63" i="7"/>
  <c r="N50" i="1"/>
  <c r="P50" i="7"/>
  <c r="R50" i="7"/>
  <c r="O34" i="7"/>
  <c r="O35" i="1"/>
  <c r="O20" i="9"/>
  <c r="J16" i="3"/>
  <c r="O48" i="1"/>
  <c r="O41" i="1"/>
  <c r="P74" i="9"/>
  <c r="T74" i="9"/>
  <c r="P72" i="9"/>
  <c r="R72" i="9"/>
  <c r="P64" i="9"/>
  <c r="P63" i="9"/>
  <c r="O58" i="1"/>
  <c r="O23" i="1"/>
  <c r="O16" i="1"/>
  <c r="P101" i="9"/>
  <c r="O135" i="1"/>
  <c r="O146" i="1"/>
  <c r="O152" i="1"/>
  <c r="N80" i="9"/>
  <c r="O66" i="1"/>
  <c r="O60" i="1"/>
  <c r="P48" i="9"/>
  <c r="T48" i="9"/>
  <c r="O26" i="1"/>
  <c r="P17" i="9"/>
  <c r="O15" i="1"/>
  <c r="O10" i="1"/>
  <c r="N140" i="9"/>
  <c r="N158" i="9"/>
  <c r="N65" i="1"/>
  <c r="O38" i="1"/>
  <c r="O36" i="1"/>
  <c r="O25" i="1"/>
  <c r="O21" i="1"/>
  <c r="O9" i="1"/>
  <c r="H31" i="10"/>
  <c r="H45" i="10"/>
  <c r="G80" i="1"/>
  <c r="P73" i="9"/>
  <c r="N57" i="1"/>
  <c r="P24" i="9"/>
  <c r="P70" i="9"/>
  <c r="P56" i="9"/>
  <c r="S56" i="9"/>
  <c r="N34" i="9"/>
  <c r="P23" i="9"/>
  <c r="S23" i="9"/>
  <c r="N20" i="9"/>
  <c r="N13" i="1"/>
  <c r="R74" i="9"/>
  <c r="N69" i="1"/>
  <c r="T55" i="9"/>
  <c r="S55" i="9"/>
  <c r="U67" i="9"/>
  <c r="R67" i="9"/>
  <c r="T67" i="9"/>
  <c r="T63" i="9"/>
  <c r="R63" i="9"/>
  <c r="N38" i="1"/>
  <c r="N29" i="1"/>
  <c r="N25" i="1"/>
  <c r="N21" i="1"/>
  <c r="P147" i="9"/>
  <c r="R147" i="9"/>
  <c r="P124" i="9"/>
  <c r="P116" i="9"/>
  <c r="M66" i="1"/>
  <c r="M64" i="1"/>
  <c r="M60" i="1"/>
  <c r="N59" i="1"/>
  <c r="N55" i="1"/>
  <c r="N51" i="1"/>
  <c r="N22" i="1"/>
  <c r="M16" i="1"/>
  <c r="N15" i="1"/>
  <c r="N10" i="1"/>
  <c r="P107" i="9"/>
  <c r="N138" i="1"/>
  <c r="N156" i="1"/>
  <c r="M152" i="1"/>
  <c r="N9" i="1"/>
  <c r="P106" i="9"/>
  <c r="M109" i="9"/>
  <c r="N109" i="9"/>
  <c r="N109" i="1"/>
  <c r="P102" i="9"/>
  <c r="M63" i="1"/>
  <c r="N36" i="1"/>
  <c r="P84" i="9"/>
  <c r="N82" i="1"/>
  <c r="P66" i="9"/>
  <c r="N61" i="1"/>
  <c r="N56" i="1"/>
  <c r="P51" i="9"/>
  <c r="S51" i="9"/>
  <c r="P50" i="9"/>
  <c r="T50" i="9"/>
  <c r="P42" i="9"/>
  <c r="R42" i="9"/>
  <c r="P39" i="9"/>
  <c r="P38" i="9"/>
  <c r="P36" i="9"/>
  <c r="P29" i="9"/>
  <c r="M29" i="1"/>
  <c r="N28" i="1"/>
  <c r="N24" i="1"/>
  <c r="P15" i="9"/>
  <c r="P13" i="9"/>
  <c r="R13" i="9"/>
  <c r="P10" i="9"/>
  <c r="M9" i="1"/>
  <c r="N143" i="1"/>
  <c r="P157" i="9"/>
  <c r="P157" i="1"/>
  <c r="T157" i="1"/>
  <c r="P156" i="9"/>
  <c r="P165" i="9"/>
  <c r="N161" i="1"/>
  <c r="P65" i="9"/>
  <c r="T65" i="9"/>
  <c r="P125" i="9"/>
  <c r="P121" i="9"/>
  <c r="T121" i="9"/>
  <c r="P117" i="9"/>
  <c r="R117" i="9"/>
  <c r="P82" i="9"/>
  <c r="N64" i="1"/>
  <c r="N63" i="1"/>
  <c r="N60" i="1"/>
  <c r="P58" i="9"/>
  <c r="N27" i="1"/>
  <c r="P21" i="9"/>
  <c r="U21" i="9"/>
  <c r="N16" i="1"/>
  <c r="N107" i="1"/>
  <c r="N106" i="1"/>
  <c r="P103" i="9"/>
  <c r="P136" i="9"/>
  <c r="T136" i="9"/>
  <c r="P146" i="9"/>
  <c r="T146" i="9"/>
  <c r="P161" i="9"/>
  <c r="R161" i="9"/>
  <c r="N15" i="10"/>
  <c r="I31" i="10"/>
  <c r="I31" i="2"/>
  <c r="I29" i="3"/>
  <c r="I15" i="2"/>
  <c r="M15" i="10"/>
  <c r="I16" i="13"/>
  <c r="I16" i="3"/>
  <c r="H66" i="10"/>
  <c r="H43" i="2"/>
  <c r="N27" i="2"/>
  <c r="M25" i="2"/>
  <c r="M12" i="2"/>
  <c r="M162" i="1"/>
  <c r="N92" i="1"/>
  <c r="J23" i="14"/>
  <c r="N39" i="1"/>
  <c r="M51" i="1"/>
  <c r="J21" i="3"/>
  <c r="M149" i="8"/>
  <c r="P36" i="7"/>
  <c r="I62" i="2"/>
  <c r="N62" i="2"/>
  <c r="N73" i="1"/>
  <c r="P70" i="7"/>
  <c r="M167" i="7"/>
  <c r="P164" i="7"/>
  <c r="P167" i="7"/>
  <c r="P135" i="7"/>
  <c r="N67" i="1"/>
  <c r="P38" i="7"/>
  <c r="P35" i="7"/>
  <c r="N80" i="7"/>
  <c r="N83" i="1"/>
  <c r="P82" i="7"/>
  <c r="M17" i="1"/>
  <c r="M21" i="1"/>
  <c r="L13" i="15"/>
  <c r="N13" i="15"/>
  <c r="L16" i="15"/>
  <c r="N16" i="15"/>
  <c r="R121" i="9"/>
  <c r="T117" i="9"/>
  <c r="S72" i="9"/>
  <c r="U22" i="9"/>
  <c r="T22" i="9"/>
  <c r="S22" i="9"/>
  <c r="R22" i="9"/>
  <c r="R102" i="9"/>
  <c r="T102" i="9"/>
  <c r="T147" i="9"/>
  <c r="T124" i="9"/>
  <c r="R124" i="9"/>
  <c r="R116" i="9"/>
  <c r="U116" i="9"/>
  <c r="T116" i="9"/>
  <c r="T42" i="9"/>
  <c r="T38" i="9"/>
  <c r="R38" i="9"/>
  <c r="T101" i="9"/>
  <c r="R101" i="9"/>
  <c r="L51" i="1"/>
  <c r="M26" i="1"/>
  <c r="H11" i="15"/>
  <c r="M146" i="1"/>
  <c r="L102" i="1"/>
  <c r="R55" i="9"/>
  <c r="S161" i="9"/>
  <c r="T161" i="9"/>
  <c r="L50" i="1"/>
  <c r="L30" i="1"/>
  <c r="P26" i="9"/>
  <c r="L26" i="1"/>
  <c r="M25" i="1"/>
  <c r="L14" i="1"/>
  <c r="P137" i="9"/>
  <c r="L144" i="1"/>
  <c r="P143" i="9"/>
  <c r="M13" i="1"/>
  <c r="L158" i="9"/>
  <c r="L158" i="1"/>
  <c r="R50" i="9"/>
  <c r="P128" i="9"/>
  <c r="P130" i="9"/>
  <c r="R130" i="9"/>
  <c r="P122" i="9"/>
  <c r="M94" i="9"/>
  <c r="P127" i="9"/>
  <c r="P123" i="9"/>
  <c r="T123" i="9"/>
  <c r="P119" i="9"/>
  <c r="S119" i="9"/>
  <c r="P115" i="9"/>
  <c r="T115" i="9"/>
  <c r="P69" i="9"/>
  <c r="L59" i="1"/>
  <c r="M58" i="1"/>
  <c r="M55" i="1"/>
  <c r="P49" i="9"/>
  <c r="P41" i="9"/>
  <c r="P35" i="9"/>
  <c r="P12" i="9"/>
  <c r="L12" i="1"/>
  <c r="M11" i="1"/>
  <c r="M107" i="1"/>
  <c r="M104" i="1"/>
  <c r="M103" i="1"/>
  <c r="M101" i="1"/>
  <c r="P138" i="9"/>
  <c r="P135" i="9"/>
  <c r="L135" i="1"/>
  <c r="P152" i="9"/>
  <c r="M50" i="1"/>
  <c r="L23" i="1"/>
  <c r="L21" i="1"/>
  <c r="M105" i="1"/>
  <c r="T129" i="9"/>
  <c r="P153" i="9"/>
  <c r="P61" i="9"/>
  <c r="M161" i="1"/>
  <c r="L39" i="1"/>
  <c r="M140" i="9"/>
  <c r="L34" i="9"/>
  <c r="M72" i="1"/>
  <c r="L58" i="1"/>
  <c r="L35" i="1"/>
  <c r="L28" i="1"/>
  <c r="P27" i="9"/>
  <c r="M27" i="1"/>
  <c r="M23" i="1"/>
  <c r="L16" i="1"/>
  <c r="M15" i="1"/>
  <c r="L107" i="1"/>
  <c r="M106" i="1"/>
  <c r="M102" i="1"/>
  <c r="L145" i="1"/>
  <c r="L156" i="1"/>
  <c r="M154" i="1"/>
  <c r="L164" i="1"/>
  <c r="P163" i="9"/>
  <c r="R163" i="9"/>
  <c r="M24" i="2"/>
  <c r="N17" i="2"/>
  <c r="R71" i="1"/>
  <c r="L101" i="1"/>
  <c r="P67" i="8"/>
  <c r="T67" i="8"/>
  <c r="O158" i="8"/>
  <c r="P153" i="8"/>
  <c r="P153" i="1"/>
  <c r="T153" i="1"/>
  <c r="M158" i="8"/>
  <c r="M167" i="8"/>
  <c r="O167" i="8"/>
  <c r="O167" i="1"/>
  <c r="P49" i="8"/>
  <c r="T49" i="8"/>
  <c r="P104" i="8"/>
  <c r="R104" i="8"/>
  <c r="O140" i="8"/>
  <c r="O149" i="8"/>
  <c r="P67" i="1"/>
  <c r="S67" i="1"/>
  <c r="G167" i="1"/>
  <c r="G68" i="8"/>
  <c r="G68" i="1"/>
  <c r="T71" i="1"/>
  <c r="K167" i="1"/>
  <c r="M165" i="1"/>
  <c r="L104" i="1"/>
  <c r="K52" i="1"/>
  <c r="O59" i="1"/>
  <c r="G158" i="8"/>
  <c r="G53" i="8"/>
  <c r="L55" i="1"/>
  <c r="P51" i="8"/>
  <c r="R51" i="8"/>
  <c r="P65" i="8"/>
  <c r="T65" i="8"/>
  <c r="L153" i="1"/>
  <c r="O136" i="1"/>
  <c r="I132" i="1"/>
  <c r="N99" i="1"/>
  <c r="L158" i="8"/>
  <c r="L109" i="8"/>
  <c r="P161" i="8"/>
  <c r="U161" i="8"/>
  <c r="P38" i="8"/>
  <c r="P38" i="1"/>
  <c r="R38" i="1"/>
  <c r="J158" i="1"/>
  <c r="O92" i="1"/>
  <c r="H20" i="3"/>
  <c r="H20" i="14"/>
  <c r="O29" i="1"/>
  <c r="L9" i="1"/>
  <c r="T130" i="8"/>
  <c r="R130" i="8"/>
  <c r="T104" i="8"/>
  <c r="J52" i="1"/>
  <c r="N41" i="1"/>
  <c r="P106" i="8"/>
  <c r="T106" i="8"/>
  <c r="N102" i="1"/>
  <c r="P102" i="8"/>
  <c r="P102" i="1"/>
  <c r="T102" i="1"/>
  <c r="G154" i="1"/>
  <c r="G8" i="8"/>
  <c r="G8" i="1"/>
  <c r="P147" i="8"/>
  <c r="T147" i="8"/>
  <c r="P64" i="8"/>
  <c r="P152" i="8"/>
  <c r="H23" i="14"/>
  <c r="N72" i="1"/>
  <c r="N154" i="1"/>
  <c r="H21" i="3"/>
  <c r="R86" i="8"/>
  <c r="L20" i="14"/>
  <c r="P58" i="8"/>
  <c r="R58" i="8"/>
  <c r="N105" i="1"/>
  <c r="P138" i="8"/>
  <c r="T138" i="8"/>
  <c r="P154" i="8"/>
  <c r="I34" i="1"/>
  <c r="N68" i="1"/>
  <c r="J11" i="14"/>
  <c r="P74" i="8"/>
  <c r="P74" i="1"/>
  <c r="T74" i="1"/>
  <c r="P73" i="8"/>
  <c r="P69" i="8"/>
  <c r="R69" i="8"/>
  <c r="P62" i="8"/>
  <c r="R62" i="8"/>
  <c r="P55" i="8"/>
  <c r="R55" i="8"/>
  <c r="N40" i="1"/>
  <c r="O39" i="1"/>
  <c r="P115" i="8"/>
  <c r="R115" i="8"/>
  <c r="P63" i="8"/>
  <c r="O76" i="8"/>
  <c r="P50" i="8"/>
  <c r="T50" i="8"/>
  <c r="P40" i="8"/>
  <c r="T40" i="8"/>
  <c r="P128" i="8"/>
  <c r="T128" i="8"/>
  <c r="P127" i="8"/>
  <c r="U127" i="8"/>
  <c r="P125" i="8"/>
  <c r="R125" i="8"/>
  <c r="P123" i="8"/>
  <c r="P120" i="8"/>
  <c r="R120" i="8"/>
  <c r="P59" i="8"/>
  <c r="T59" i="8"/>
  <c r="P56" i="8"/>
  <c r="T56" i="8"/>
  <c r="O30" i="1"/>
  <c r="O20" i="8"/>
  <c r="G45" i="8"/>
  <c r="P27" i="8"/>
  <c r="T27" i="8"/>
  <c r="M40" i="1"/>
  <c r="P118" i="8"/>
  <c r="R118" i="8"/>
  <c r="P57" i="8"/>
  <c r="T57" i="8"/>
  <c r="P24" i="8"/>
  <c r="R24" i="8"/>
  <c r="P145" i="8"/>
  <c r="P145" i="1"/>
  <c r="P163" i="8"/>
  <c r="P126" i="8"/>
  <c r="P119" i="8"/>
  <c r="T119" i="8"/>
  <c r="P83" i="8"/>
  <c r="T83" i="8"/>
  <c r="P70" i="8"/>
  <c r="R70" i="8"/>
  <c r="L65" i="1"/>
  <c r="P146" i="8"/>
  <c r="P156" i="8"/>
  <c r="P122" i="8"/>
  <c r="T122" i="8"/>
  <c r="P121" i="8"/>
  <c r="P60" i="8"/>
  <c r="L56" i="1"/>
  <c r="L38" i="1"/>
  <c r="P36" i="8"/>
  <c r="M35" i="1"/>
  <c r="P101" i="8"/>
  <c r="S101" i="8"/>
  <c r="P164" i="8"/>
  <c r="T164" i="8"/>
  <c r="L24" i="1"/>
  <c r="P25" i="8"/>
  <c r="T25" i="8"/>
  <c r="P28" i="8"/>
  <c r="T28" i="8"/>
  <c r="O22" i="1"/>
  <c r="O28" i="1"/>
  <c r="K8" i="1"/>
  <c r="P17" i="8"/>
  <c r="P17" i="1"/>
  <c r="T17" i="1"/>
  <c r="P15" i="8"/>
  <c r="R15" i="8"/>
  <c r="P11" i="8"/>
  <c r="T11" i="8"/>
  <c r="L16" i="13"/>
  <c r="O16" i="13"/>
  <c r="N21" i="13"/>
  <c r="M64" i="10"/>
  <c r="H64" i="2"/>
  <c r="N64" i="10"/>
  <c r="M34" i="2"/>
  <c r="M11" i="2"/>
  <c r="N11" i="2"/>
  <c r="L140" i="7"/>
  <c r="M20" i="8"/>
  <c r="P23" i="8"/>
  <c r="R23" i="8"/>
  <c r="P9" i="8"/>
  <c r="P13" i="8"/>
  <c r="R13" i="8"/>
  <c r="N17" i="1"/>
  <c r="L8" i="8"/>
  <c r="L15" i="1"/>
  <c r="J8" i="1"/>
  <c r="O14" i="1"/>
  <c r="N12" i="1"/>
  <c r="M8" i="8"/>
  <c r="N34" i="7"/>
  <c r="O37" i="1"/>
  <c r="T37" i="1"/>
  <c r="H45" i="7"/>
  <c r="H45" i="1"/>
  <c r="O20" i="7"/>
  <c r="L20" i="7"/>
  <c r="I52" i="1"/>
  <c r="M52" i="7"/>
  <c r="I68" i="1"/>
  <c r="M68" i="7"/>
  <c r="P68" i="7"/>
  <c r="R68" i="7"/>
  <c r="L76" i="7"/>
  <c r="M8" i="7"/>
  <c r="M132" i="7"/>
  <c r="N132" i="7"/>
  <c r="O132" i="7"/>
  <c r="L80" i="7"/>
  <c r="L80" i="1"/>
  <c r="N48" i="1"/>
  <c r="N30" i="1"/>
  <c r="O8" i="7"/>
  <c r="N8" i="7"/>
  <c r="O104" i="1"/>
  <c r="K45" i="7"/>
  <c r="K45" i="1"/>
  <c r="O80" i="7"/>
  <c r="N20" i="7"/>
  <c r="O158" i="7"/>
  <c r="N158" i="7"/>
  <c r="O68" i="1"/>
  <c r="K76" i="7"/>
  <c r="L34" i="7"/>
  <c r="L45" i="7"/>
  <c r="N149" i="7"/>
  <c r="R38" i="8"/>
  <c r="T38" i="8"/>
  <c r="N42" i="1"/>
  <c r="P39" i="8"/>
  <c r="M34" i="8"/>
  <c r="P29" i="8"/>
  <c r="L29" i="1"/>
  <c r="P135" i="8"/>
  <c r="M140" i="8"/>
  <c r="P143" i="8"/>
  <c r="L143" i="1"/>
  <c r="P165" i="8"/>
  <c r="P165" i="1"/>
  <c r="T165" i="1"/>
  <c r="L165" i="1"/>
  <c r="H132" i="1"/>
  <c r="P54" i="8"/>
  <c r="L54" i="1"/>
  <c r="H149" i="1"/>
  <c r="L68" i="8"/>
  <c r="P68" i="8"/>
  <c r="H68" i="1"/>
  <c r="T121" i="8"/>
  <c r="M132" i="8"/>
  <c r="I11" i="14"/>
  <c r="M12" i="1"/>
  <c r="M109" i="8"/>
  <c r="N20" i="14"/>
  <c r="O20" i="14"/>
  <c r="P72" i="8"/>
  <c r="L72" i="1"/>
  <c r="P66" i="8"/>
  <c r="P66" i="1"/>
  <c r="S66" i="1"/>
  <c r="N66" i="1"/>
  <c r="P26" i="8"/>
  <c r="N26" i="1"/>
  <c r="P22" i="8"/>
  <c r="P12" i="8"/>
  <c r="P103" i="8"/>
  <c r="N137" i="1"/>
  <c r="P137" i="8"/>
  <c r="N144" i="1"/>
  <c r="K76" i="1"/>
  <c r="T100" i="8"/>
  <c r="L138" i="1"/>
  <c r="O102" i="1"/>
  <c r="N70" i="1"/>
  <c r="H54" i="1"/>
  <c r="M39" i="1"/>
  <c r="N23" i="1"/>
  <c r="K20" i="3"/>
  <c r="L167" i="8"/>
  <c r="K23" i="14"/>
  <c r="M167" i="1"/>
  <c r="P84" i="8"/>
  <c r="M80" i="8"/>
  <c r="M84" i="1"/>
  <c r="G20" i="1"/>
  <c r="U20" i="8"/>
  <c r="O8" i="8"/>
  <c r="O11" i="1"/>
  <c r="T102" i="8"/>
  <c r="P136" i="8"/>
  <c r="L140" i="8"/>
  <c r="L140" i="1"/>
  <c r="L136" i="1"/>
  <c r="T129" i="8"/>
  <c r="R129" i="8"/>
  <c r="R91" i="8"/>
  <c r="M135" i="1"/>
  <c r="M9" i="3"/>
  <c r="H167" i="1"/>
  <c r="H140" i="1"/>
  <c r="K68" i="1"/>
  <c r="O109" i="1"/>
  <c r="L149" i="8"/>
  <c r="M23" i="14"/>
  <c r="M25" i="14"/>
  <c r="M30" i="14"/>
  <c r="O34" i="8"/>
  <c r="O34" i="1"/>
  <c r="P116" i="8"/>
  <c r="L132" i="8"/>
  <c r="H11" i="14"/>
  <c r="P92" i="8"/>
  <c r="P92" i="1"/>
  <c r="L94" i="8"/>
  <c r="G94" i="8"/>
  <c r="G94" i="1"/>
  <c r="G92" i="1"/>
  <c r="U92" i="8"/>
  <c r="G76" i="8"/>
  <c r="P82" i="8"/>
  <c r="P42" i="8"/>
  <c r="P14" i="8"/>
  <c r="P105" i="8"/>
  <c r="S154" i="8"/>
  <c r="T154" i="8"/>
  <c r="S161" i="8"/>
  <c r="T161" i="8"/>
  <c r="M53" i="8"/>
  <c r="P53" i="8"/>
  <c r="O140" i="1"/>
  <c r="P117" i="8"/>
  <c r="P61" i="8"/>
  <c r="P48" i="8"/>
  <c r="P48" i="1"/>
  <c r="T48" i="1"/>
  <c r="L34" i="8"/>
  <c r="P41" i="8"/>
  <c r="P35" i="8"/>
  <c r="P35" i="1"/>
  <c r="U35" i="1"/>
  <c r="P30" i="8"/>
  <c r="L20" i="8"/>
  <c r="P21" i="8"/>
  <c r="P16" i="8"/>
  <c r="P10" i="8"/>
  <c r="N8" i="1"/>
  <c r="P107" i="8"/>
  <c r="P99" i="8"/>
  <c r="P144" i="8"/>
  <c r="P154" i="1"/>
  <c r="U154" i="1"/>
  <c r="P162" i="8"/>
  <c r="T31" i="1"/>
  <c r="O138" i="1"/>
  <c r="O143" i="1"/>
  <c r="M99" i="1"/>
  <c r="L68" i="1"/>
  <c r="O56" i="1"/>
  <c r="M22" i="1"/>
  <c r="O17" i="1"/>
  <c r="L94" i="9"/>
  <c r="L91" i="1"/>
  <c r="R86" i="9"/>
  <c r="T86" i="9"/>
  <c r="P120" i="9"/>
  <c r="M132" i="9"/>
  <c r="I11" i="15"/>
  <c r="P28" i="9"/>
  <c r="M28" i="1"/>
  <c r="U145" i="9"/>
  <c r="T145" i="9"/>
  <c r="R145" i="9"/>
  <c r="O145" i="1"/>
  <c r="O149" i="9"/>
  <c r="M149" i="9"/>
  <c r="M144" i="1"/>
  <c r="P144" i="9"/>
  <c r="P155" i="9"/>
  <c r="M158" i="9"/>
  <c r="M158" i="1"/>
  <c r="M155" i="1"/>
  <c r="G45" i="9"/>
  <c r="U34" i="9"/>
  <c r="G34" i="1"/>
  <c r="G76" i="9"/>
  <c r="K94" i="1"/>
  <c r="P86" i="1"/>
  <c r="T86" i="1"/>
  <c r="N104" i="1"/>
  <c r="P126" i="9"/>
  <c r="P40" i="9"/>
  <c r="M34" i="9"/>
  <c r="P30" i="9"/>
  <c r="M30" i="1"/>
  <c r="P105" i="9"/>
  <c r="L105" i="1"/>
  <c r="P99" i="9"/>
  <c r="L99" i="1"/>
  <c r="L109" i="9"/>
  <c r="P162" i="9"/>
  <c r="L167" i="9"/>
  <c r="L167" i="1"/>
  <c r="L162" i="1"/>
  <c r="P104" i="9"/>
  <c r="R48" i="9"/>
  <c r="R125" i="9"/>
  <c r="T125" i="9"/>
  <c r="K23" i="15"/>
  <c r="L21" i="15"/>
  <c r="N21" i="15"/>
  <c r="K21" i="3"/>
  <c r="M20" i="9"/>
  <c r="M20" i="1"/>
  <c r="U51" i="9"/>
  <c r="T51" i="9"/>
  <c r="R51" i="9"/>
  <c r="O51" i="1"/>
  <c r="P11" i="9"/>
  <c r="L8" i="9"/>
  <c r="L11" i="1"/>
  <c r="T10" i="9"/>
  <c r="R10" i="9"/>
  <c r="O8" i="9"/>
  <c r="O45" i="9"/>
  <c r="O52" i="9"/>
  <c r="R146" i="9"/>
  <c r="T92" i="9"/>
  <c r="R92" i="9"/>
  <c r="N132" i="9"/>
  <c r="N132" i="1"/>
  <c r="T119" i="9"/>
  <c r="R115" i="9"/>
  <c r="P83" i="9"/>
  <c r="M83" i="1"/>
  <c r="M80" i="9"/>
  <c r="T66" i="9"/>
  <c r="R66" i="9"/>
  <c r="P60" i="9"/>
  <c r="L60" i="1"/>
  <c r="P57" i="9"/>
  <c r="M57" i="1"/>
  <c r="U56" i="9"/>
  <c r="T56" i="9"/>
  <c r="R56" i="9"/>
  <c r="P25" i="9"/>
  <c r="L20" i="9"/>
  <c r="L25" i="1"/>
  <c r="T17" i="9"/>
  <c r="R17" i="9"/>
  <c r="P14" i="9"/>
  <c r="M8" i="9"/>
  <c r="M14" i="1"/>
  <c r="N167" i="9"/>
  <c r="N164" i="1"/>
  <c r="H158" i="1"/>
  <c r="I140" i="1"/>
  <c r="H94" i="1"/>
  <c r="H91" i="1"/>
  <c r="N54" i="9"/>
  <c r="N76" i="9"/>
  <c r="K91" i="1"/>
  <c r="N52" i="1"/>
  <c r="P59" i="9"/>
  <c r="P16" i="9"/>
  <c r="P9" i="9"/>
  <c r="P68" i="9"/>
  <c r="N140" i="1"/>
  <c r="M94" i="1"/>
  <c r="P118" i="9"/>
  <c r="O132" i="9"/>
  <c r="O132" i="1"/>
  <c r="M82" i="1"/>
  <c r="M73" i="1"/>
  <c r="P62" i="9"/>
  <c r="P164" i="9"/>
  <c r="N100" i="1"/>
  <c r="O80" i="1"/>
  <c r="M69" i="1"/>
  <c r="U58" i="9"/>
  <c r="P100" i="9"/>
  <c r="U154" i="9"/>
  <c r="T154" i="9"/>
  <c r="J34" i="1"/>
  <c r="K80" i="1"/>
  <c r="O50" i="1"/>
  <c r="M38" i="1"/>
  <c r="M137" i="1"/>
  <c r="N135" i="1"/>
  <c r="N149" i="1"/>
  <c r="N158" i="1"/>
  <c r="L161" i="1"/>
  <c r="G109" i="1"/>
  <c r="U109" i="1"/>
  <c r="H80" i="1"/>
  <c r="I94" i="1"/>
  <c r="L66" i="1"/>
  <c r="L63" i="1"/>
  <c r="O61" i="1"/>
  <c r="G54" i="1"/>
  <c r="J109" i="1"/>
  <c r="J140" i="1"/>
  <c r="H84" i="2"/>
  <c r="I84" i="2"/>
  <c r="M62" i="10"/>
  <c r="I37" i="2"/>
  <c r="N37" i="2"/>
  <c r="J29" i="2"/>
  <c r="K22" i="2"/>
  <c r="K84" i="2"/>
  <c r="N18" i="2"/>
  <c r="J22" i="2"/>
  <c r="K64" i="2"/>
  <c r="J84" i="2"/>
  <c r="J43" i="2"/>
  <c r="N29" i="2"/>
  <c r="K55" i="2"/>
  <c r="L16" i="14"/>
  <c r="O16" i="14"/>
  <c r="J64" i="2"/>
  <c r="I43" i="2"/>
  <c r="M22" i="2"/>
  <c r="N22" i="2"/>
  <c r="N12" i="2"/>
  <c r="M10" i="2"/>
  <c r="N10" i="2"/>
  <c r="L13" i="14"/>
  <c r="N13" i="14"/>
  <c r="I64" i="2"/>
  <c r="M29" i="2"/>
  <c r="J55" i="2"/>
  <c r="N55" i="2"/>
  <c r="H15" i="2"/>
  <c r="J29" i="15"/>
  <c r="J31" i="2"/>
  <c r="J29" i="3"/>
  <c r="K29" i="15"/>
  <c r="L29" i="15"/>
  <c r="K31" i="2"/>
  <c r="M45" i="12"/>
  <c r="M66" i="12"/>
  <c r="N45" i="12"/>
  <c r="N66" i="12"/>
  <c r="I29" i="15"/>
  <c r="M26" i="2"/>
  <c r="N26" i="2"/>
  <c r="N24" i="2"/>
  <c r="N34" i="2"/>
  <c r="M27" i="2"/>
  <c r="N25" i="2"/>
  <c r="K13" i="3"/>
  <c r="I13" i="3"/>
  <c r="O19" i="14"/>
  <c r="L13" i="13"/>
  <c r="N13" i="13"/>
  <c r="G23" i="3"/>
  <c r="G25" i="3"/>
  <c r="G30" i="3"/>
  <c r="M7" i="15"/>
  <c r="M25" i="15"/>
  <c r="O7" i="15"/>
  <c r="H7" i="15"/>
  <c r="O16" i="15"/>
  <c r="G84" i="2"/>
  <c r="G66" i="2"/>
  <c r="L66" i="2"/>
  <c r="R20" i="7"/>
  <c r="R158" i="7"/>
  <c r="R94" i="7"/>
  <c r="Q149" i="1"/>
  <c r="J91" i="1"/>
  <c r="J94" i="7"/>
  <c r="J94" i="1"/>
  <c r="N53" i="7"/>
  <c r="N53" i="1"/>
  <c r="J53" i="1"/>
  <c r="O155" i="1"/>
  <c r="J132" i="1"/>
  <c r="O99" i="1"/>
  <c r="O83" i="1"/>
  <c r="J68" i="1"/>
  <c r="R37" i="1"/>
  <c r="O13" i="1"/>
  <c r="L149" i="7"/>
  <c r="M140" i="7"/>
  <c r="M109" i="7"/>
  <c r="J20" i="3"/>
  <c r="J23" i="3"/>
  <c r="M34" i="7"/>
  <c r="T8" i="7"/>
  <c r="U158" i="7"/>
  <c r="Q143" i="1"/>
  <c r="Q158" i="1"/>
  <c r="O53" i="7"/>
  <c r="O53" i="1"/>
  <c r="G53" i="7"/>
  <c r="J54" i="7"/>
  <c r="J45" i="7"/>
  <c r="N165" i="1"/>
  <c r="J149" i="1"/>
  <c r="I53" i="1"/>
  <c r="H52" i="1"/>
  <c r="L48" i="1"/>
  <c r="K20" i="1"/>
  <c r="N11" i="1"/>
  <c r="O149" i="7"/>
  <c r="O149" i="1"/>
  <c r="I19" i="3"/>
  <c r="M80" i="7"/>
  <c r="G45" i="7"/>
  <c r="I45" i="7"/>
  <c r="M164" i="1"/>
  <c r="N152" i="1"/>
  <c r="N146" i="1"/>
  <c r="I91" i="1"/>
  <c r="L42" i="1"/>
  <c r="O27" i="1"/>
  <c r="R31" i="1"/>
  <c r="M10" i="1"/>
  <c r="H76" i="7"/>
  <c r="I76" i="7"/>
  <c r="K23" i="13"/>
  <c r="M21" i="3"/>
  <c r="M23" i="13"/>
  <c r="L20" i="13"/>
  <c r="R43" i="1"/>
  <c r="H19" i="3"/>
  <c r="T43" i="1"/>
  <c r="Q53" i="1"/>
  <c r="S53" i="7"/>
  <c r="R53" i="7"/>
  <c r="O7" i="13"/>
  <c r="L7" i="3"/>
  <c r="M7" i="13"/>
  <c r="N7" i="13"/>
  <c r="Q140" i="1"/>
  <c r="Q68" i="1"/>
  <c r="Q45" i="1"/>
  <c r="G52" i="7"/>
  <c r="G149" i="1"/>
  <c r="R8" i="7"/>
  <c r="T132" i="7"/>
  <c r="T158" i="7"/>
  <c r="R132" i="7"/>
  <c r="T94" i="7"/>
  <c r="T20" i="7"/>
  <c r="S68" i="7"/>
  <c r="P64" i="1"/>
  <c r="T64" i="1"/>
  <c r="T41" i="7"/>
  <c r="R41" i="7"/>
  <c r="O13" i="15"/>
  <c r="M64" i="2"/>
  <c r="M55" i="2"/>
  <c r="S119" i="8"/>
  <c r="T127" i="8"/>
  <c r="U59" i="8"/>
  <c r="T155" i="8"/>
  <c r="S59" i="8"/>
  <c r="S155" i="8"/>
  <c r="T62" i="8"/>
  <c r="T153" i="8"/>
  <c r="R56" i="8"/>
  <c r="R124" i="8"/>
  <c r="P56" i="1"/>
  <c r="R56" i="1"/>
  <c r="P158" i="8"/>
  <c r="U158" i="8"/>
  <c r="S115" i="8"/>
  <c r="S62" i="8"/>
  <c r="R102" i="8"/>
  <c r="R40" i="8"/>
  <c r="S153" i="8"/>
  <c r="R161" i="8"/>
  <c r="T115" i="8"/>
  <c r="U62" i="8"/>
  <c r="T101" i="8"/>
  <c r="R147" i="8"/>
  <c r="P49" i="1"/>
  <c r="T49" i="1"/>
  <c r="S38" i="1"/>
  <c r="P51" i="1"/>
  <c r="R51" i="1"/>
  <c r="P55" i="1"/>
  <c r="U55" i="1"/>
  <c r="S56" i="8"/>
  <c r="R101" i="8"/>
  <c r="P161" i="1"/>
  <c r="T161" i="1"/>
  <c r="R74" i="8"/>
  <c r="T55" i="8"/>
  <c r="U153" i="8"/>
  <c r="U83" i="8"/>
  <c r="S118" i="8"/>
  <c r="R153" i="8"/>
  <c r="R49" i="8"/>
  <c r="R67" i="8"/>
  <c r="P27" i="1"/>
  <c r="U27" i="1"/>
  <c r="R73" i="7"/>
  <c r="T73" i="7"/>
  <c r="P149" i="7"/>
  <c r="S143" i="7"/>
  <c r="R143" i="7"/>
  <c r="R149" i="7"/>
  <c r="T143" i="7"/>
  <c r="T149" i="7"/>
  <c r="U143" i="7"/>
  <c r="P109" i="7"/>
  <c r="S109" i="7"/>
  <c r="U109" i="7"/>
  <c r="T100" i="7"/>
  <c r="S100" i="7"/>
  <c r="R100" i="7"/>
  <c r="U100" i="7"/>
  <c r="U101" i="7"/>
  <c r="T101" i="7"/>
  <c r="S101" i="7"/>
  <c r="R101" i="7"/>
  <c r="T99" i="7"/>
  <c r="R99" i="7"/>
  <c r="U99" i="7"/>
  <c r="S99" i="7"/>
  <c r="T64" i="7"/>
  <c r="U64" i="7"/>
  <c r="S64" i="7"/>
  <c r="R64" i="7"/>
  <c r="U69" i="7"/>
  <c r="T69" i="7"/>
  <c r="S69" i="7"/>
  <c r="R69" i="7"/>
  <c r="T137" i="7"/>
  <c r="R137" i="7"/>
  <c r="U137" i="7"/>
  <c r="S137" i="7"/>
  <c r="R136" i="7"/>
  <c r="T136" i="7"/>
  <c r="U136" i="7"/>
  <c r="S136" i="7"/>
  <c r="U138" i="7"/>
  <c r="S138" i="7"/>
  <c r="R138" i="7"/>
  <c r="T138" i="7"/>
  <c r="T161" i="7"/>
  <c r="S161" i="7"/>
  <c r="R161" i="7"/>
  <c r="U67" i="7"/>
  <c r="S67" i="7"/>
  <c r="T67" i="7"/>
  <c r="R67" i="7"/>
  <c r="S66" i="7"/>
  <c r="T66" i="7"/>
  <c r="R66" i="7"/>
  <c r="U66" i="7"/>
  <c r="T83" i="7"/>
  <c r="R83" i="7"/>
  <c r="U83" i="7"/>
  <c r="S83" i="7"/>
  <c r="N80" i="1"/>
  <c r="U40" i="7"/>
  <c r="T40" i="7"/>
  <c r="S40" i="7"/>
  <c r="R40" i="7"/>
  <c r="R63" i="7"/>
  <c r="U63" i="7"/>
  <c r="T63" i="7"/>
  <c r="S63" i="7"/>
  <c r="S50" i="7"/>
  <c r="T50" i="7"/>
  <c r="U50" i="7"/>
  <c r="M43" i="2"/>
  <c r="T13" i="9"/>
  <c r="R67" i="1"/>
  <c r="T72" i="9"/>
  <c r="U72" i="9"/>
  <c r="R123" i="9"/>
  <c r="S65" i="9"/>
  <c r="T64" i="9"/>
  <c r="R64" i="9"/>
  <c r="G76" i="7"/>
  <c r="M37" i="2"/>
  <c r="M62" i="2"/>
  <c r="R23" i="9"/>
  <c r="T24" i="9"/>
  <c r="U24" i="9"/>
  <c r="R24" i="9"/>
  <c r="R136" i="9"/>
  <c r="R157" i="1"/>
  <c r="R21" i="9"/>
  <c r="N45" i="9"/>
  <c r="N78" i="9"/>
  <c r="N88" i="9"/>
  <c r="J9" i="15"/>
  <c r="T70" i="9"/>
  <c r="R70" i="9"/>
  <c r="T163" i="9"/>
  <c r="S153" i="1"/>
  <c r="M45" i="9"/>
  <c r="U163" i="9"/>
  <c r="R119" i="9"/>
  <c r="U65" i="9"/>
  <c r="U153" i="1"/>
  <c r="R153" i="1"/>
  <c r="T130" i="9"/>
  <c r="R65" i="9"/>
  <c r="U23" i="9"/>
  <c r="T23" i="9"/>
  <c r="T73" i="9"/>
  <c r="R73" i="9"/>
  <c r="T103" i="9"/>
  <c r="R103" i="9"/>
  <c r="T15" i="9"/>
  <c r="R15" i="9"/>
  <c r="R29" i="9"/>
  <c r="T29" i="9"/>
  <c r="P29" i="1"/>
  <c r="R29" i="1"/>
  <c r="N167" i="1"/>
  <c r="T21" i="9"/>
  <c r="T165" i="9"/>
  <c r="U165" i="9"/>
  <c r="R165" i="9"/>
  <c r="T36" i="9"/>
  <c r="R36" i="9"/>
  <c r="R106" i="9"/>
  <c r="T106" i="9"/>
  <c r="P21" i="1"/>
  <c r="T21" i="1"/>
  <c r="S21" i="9"/>
  <c r="S58" i="9"/>
  <c r="T58" i="9"/>
  <c r="R58" i="9"/>
  <c r="R82" i="9"/>
  <c r="T82" i="9"/>
  <c r="R156" i="9"/>
  <c r="T156" i="9"/>
  <c r="U156" i="9"/>
  <c r="T107" i="9"/>
  <c r="R107" i="9"/>
  <c r="T39" i="9"/>
  <c r="R39" i="9"/>
  <c r="R84" i="9"/>
  <c r="T84" i="9"/>
  <c r="N31" i="10"/>
  <c r="M31" i="10"/>
  <c r="I45" i="10"/>
  <c r="M15" i="2"/>
  <c r="L19" i="13"/>
  <c r="L19" i="3"/>
  <c r="N16" i="13"/>
  <c r="N43" i="2"/>
  <c r="U56" i="8"/>
  <c r="U125" i="8"/>
  <c r="R138" i="8"/>
  <c r="R25" i="8"/>
  <c r="T69" i="8"/>
  <c r="P50" i="1"/>
  <c r="R50" i="1"/>
  <c r="M109" i="1"/>
  <c r="T125" i="8"/>
  <c r="P138" i="1"/>
  <c r="T138" i="1"/>
  <c r="P69" i="1"/>
  <c r="T69" i="1"/>
  <c r="R50" i="8"/>
  <c r="M149" i="1"/>
  <c r="T36" i="7"/>
  <c r="U36" i="7"/>
  <c r="S36" i="7"/>
  <c r="R36" i="7"/>
  <c r="N64" i="2"/>
  <c r="M52" i="1"/>
  <c r="P52" i="7"/>
  <c r="T70" i="7"/>
  <c r="R70" i="7"/>
  <c r="U70" i="7"/>
  <c r="S70" i="7"/>
  <c r="S167" i="7"/>
  <c r="U167" i="7"/>
  <c r="T164" i="7"/>
  <c r="S164" i="7"/>
  <c r="R164" i="7"/>
  <c r="R167" i="7"/>
  <c r="P140" i="7"/>
  <c r="R135" i="7"/>
  <c r="R140" i="7"/>
  <c r="T135" i="7"/>
  <c r="T68" i="7"/>
  <c r="U68" i="7"/>
  <c r="N34" i="1"/>
  <c r="T38" i="7"/>
  <c r="U38" i="7"/>
  <c r="S38" i="7"/>
  <c r="R38" i="7"/>
  <c r="P34" i="7"/>
  <c r="U35" i="7"/>
  <c r="R35" i="7"/>
  <c r="R34" i="7"/>
  <c r="S35" i="7"/>
  <c r="T35" i="7"/>
  <c r="P80" i="7"/>
  <c r="T82" i="7"/>
  <c r="T80" i="7"/>
  <c r="S82" i="7"/>
  <c r="R82" i="7"/>
  <c r="R80" i="7"/>
  <c r="U82" i="7"/>
  <c r="N16" i="14"/>
  <c r="L16" i="3"/>
  <c r="O16" i="3"/>
  <c r="O20" i="1"/>
  <c r="U15" i="8"/>
  <c r="R41" i="9"/>
  <c r="T41" i="9"/>
  <c r="L34" i="1"/>
  <c r="M8" i="1"/>
  <c r="T69" i="9"/>
  <c r="R69" i="9"/>
  <c r="P152" i="1"/>
  <c r="R152" i="1"/>
  <c r="U153" i="9"/>
  <c r="R153" i="9"/>
  <c r="T153" i="9"/>
  <c r="S135" i="9"/>
  <c r="T135" i="9"/>
  <c r="U135" i="9"/>
  <c r="R135" i="9"/>
  <c r="T12" i="9"/>
  <c r="R12" i="9"/>
  <c r="U152" i="9"/>
  <c r="T152" i="9"/>
  <c r="S152" i="9"/>
  <c r="R152" i="9"/>
  <c r="R61" i="9"/>
  <c r="T61" i="9"/>
  <c r="U49" i="9"/>
  <c r="T49" i="9"/>
  <c r="R49" i="9"/>
  <c r="S49" i="9"/>
  <c r="T127" i="9"/>
  <c r="R127" i="9"/>
  <c r="R128" i="9"/>
  <c r="T128" i="9"/>
  <c r="T137" i="9"/>
  <c r="R137" i="9"/>
  <c r="R26" i="9"/>
  <c r="U26" i="9"/>
  <c r="S26" i="9"/>
  <c r="T26" i="9"/>
  <c r="U49" i="1"/>
  <c r="P140" i="9"/>
  <c r="U140" i="9"/>
  <c r="L45" i="9"/>
  <c r="L8" i="1"/>
  <c r="T27" i="9"/>
  <c r="S27" i="9"/>
  <c r="R27" i="9"/>
  <c r="U27" i="9"/>
  <c r="T138" i="9"/>
  <c r="R138" i="9"/>
  <c r="R35" i="9"/>
  <c r="T35" i="9"/>
  <c r="T122" i="9"/>
  <c r="R122" i="9"/>
  <c r="U143" i="9"/>
  <c r="S143" i="9"/>
  <c r="T143" i="9"/>
  <c r="R143" i="9"/>
  <c r="O13" i="14"/>
  <c r="R48" i="1"/>
  <c r="P24" i="1"/>
  <c r="R24" i="1"/>
  <c r="T58" i="8"/>
  <c r="S55" i="8"/>
  <c r="R152" i="8"/>
  <c r="P15" i="1"/>
  <c r="T15" i="1"/>
  <c r="T152" i="8"/>
  <c r="P58" i="1"/>
  <c r="U58" i="1"/>
  <c r="P13" i="1"/>
  <c r="R13" i="1"/>
  <c r="R64" i="8"/>
  <c r="O158" i="1"/>
  <c r="U161" i="1"/>
  <c r="T35" i="1"/>
  <c r="T15" i="8"/>
  <c r="T13" i="8"/>
  <c r="S35" i="1"/>
  <c r="U13" i="8"/>
  <c r="R17" i="8"/>
  <c r="T24" i="8"/>
  <c r="S15" i="8"/>
  <c r="N20" i="1"/>
  <c r="U145" i="1"/>
  <c r="R145" i="1"/>
  <c r="U48" i="1"/>
  <c r="P101" i="1"/>
  <c r="R101" i="1"/>
  <c r="T64" i="8"/>
  <c r="U101" i="8"/>
  <c r="R106" i="8"/>
  <c r="S57" i="8"/>
  <c r="S48" i="1"/>
  <c r="U56" i="1"/>
  <c r="J45" i="1"/>
  <c r="S161" i="1"/>
  <c r="R102" i="1"/>
  <c r="R74" i="1"/>
  <c r="G158" i="1"/>
  <c r="L109" i="1"/>
  <c r="P106" i="1"/>
  <c r="T106" i="1"/>
  <c r="S156" i="8"/>
  <c r="T118" i="8"/>
  <c r="S120" i="8"/>
  <c r="R128" i="8"/>
  <c r="S58" i="8"/>
  <c r="R127" i="8"/>
  <c r="R11" i="8"/>
  <c r="U55" i="8"/>
  <c r="R59" i="8"/>
  <c r="R27" i="8"/>
  <c r="U147" i="8"/>
  <c r="R65" i="8"/>
  <c r="P65" i="1"/>
  <c r="H23" i="3"/>
  <c r="R161" i="1"/>
  <c r="S56" i="1"/>
  <c r="U156" i="8"/>
  <c r="T120" i="8"/>
  <c r="U58" i="8"/>
  <c r="T74" i="8"/>
  <c r="S147" i="8"/>
  <c r="S51" i="8"/>
  <c r="T51" i="8"/>
  <c r="U51" i="8"/>
  <c r="U67" i="1"/>
  <c r="T67" i="1"/>
  <c r="O45" i="8"/>
  <c r="O78" i="8"/>
  <c r="O88" i="8"/>
  <c r="K9" i="14"/>
  <c r="T56" i="1"/>
  <c r="T63" i="8"/>
  <c r="R63" i="8"/>
  <c r="P63" i="1"/>
  <c r="T123" i="8"/>
  <c r="R123" i="8"/>
  <c r="U154" i="8"/>
  <c r="R154" i="8"/>
  <c r="R73" i="8"/>
  <c r="T73" i="8"/>
  <c r="P73" i="1"/>
  <c r="G78" i="8"/>
  <c r="G45" i="1"/>
  <c r="S92" i="1"/>
  <c r="R92" i="1"/>
  <c r="M132" i="1"/>
  <c r="T146" i="8"/>
  <c r="R146" i="8"/>
  <c r="L21" i="14"/>
  <c r="L21" i="3"/>
  <c r="O21" i="3"/>
  <c r="I21" i="3"/>
  <c r="I23" i="3"/>
  <c r="I23" i="14"/>
  <c r="I11" i="3"/>
  <c r="T92" i="1"/>
  <c r="L11" i="14"/>
  <c r="O11" i="14"/>
  <c r="R122" i="8"/>
  <c r="T17" i="8"/>
  <c r="T126" i="8"/>
  <c r="R126" i="8"/>
  <c r="P146" i="1"/>
  <c r="R146" i="1"/>
  <c r="L149" i="1"/>
  <c r="H11" i="3"/>
  <c r="R154" i="1"/>
  <c r="L45" i="8"/>
  <c r="L45" i="1"/>
  <c r="R164" i="8"/>
  <c r="T23" i="8"/>
  <c r="R60" i="8"/>
  <c r="T60" i="8"/>
  <c r="P70" i="1"/>
  <c r="T70" i="8"/>
  <c r="S163" i="8"/>
  <c r="T163" i="8"/>
  <c r="P163" i="1"/>
  <c r="U163" i="8"/>
  <c r="R163" i="8"/>
  <c r="U57" i="8"/>
  <c r="R57" i="8"/>
  <c r="M140" i="1"/>
  <c r="S69" i="1"/>
  <c r="L132" i="1"/>
  <c r="R119" i="8"/>
  <c r="R28" i="8"/>
  <c r="P23" i="1"/>
  <c r="U23" i="1"/>
  <c r="T36" i="8"/>
  <c r="P36" i="1"/>
  <c r="R36" i="8"/>
  <c r="S121" i="8"/>
  <c r="R121" i="8"/>
  <c r="R156" i="8"/>
  <c r="P156" i="1"/>
  <c r="T156" i="8"/>
  <c r="S83" i="8"/>
  <c r="R83" i="8"/>
  <c r="T145" i="8"/>
  <c r="R145" i="8"/>
  <c r="S13" i="8"/>
  <c r="O13" i="13"/>
  <c r="L13" i="3"/>
  <c r="O13" i="3"/>
  <c r="L78" i="7"/>
  <c r="H78" i="7"/>
  <c r="M76" i="7"/>
  <c r="M45" i="8"/>
  <c r="M78" i="8"/>
  <c r="M88" i="8"/>
  <c r="L20" i="1"/>
  <c r="I45" i="1"/>
  <c r="R9" i="8"/>
  <c r="S9" i="8"/>
  <c r="U9" i="8"/>
  <c r="T9" i="8"/>
  <c r="R35" i="1"/>
  <c r="I78" i="7"/>
  <c r="I88" i="7"/>
  <c r="O45" i="7"/>
  <c r="K78" i="7"/>
  <c r="K88" i="7"/>
  <c r="K96" i="7"/>
  <c r="N45" i="7"/>
  <c r="M68" i="1"/>
  <c r="T23" i="1"/>
  <c r="T58" i="1"/>
  <c r="U92" i="1"/>
  <c r="K23" i="3"/>
  <c r="R58" i="1"/>
  <c r="T145" i="1"/>
  <c r="R17" i="1"/>
  <c r="T53" i="8"/>
  <c r="S53" i="8"/>
  <c r="U53" i="8"/>
  <c r="R53" i="8"/>
  <c r="G88" i="8"/>
  <c r="R21" i="1"/>
  <c r="M80" i="1"/>
  <c r="S165" i="1"/>
  <c r="U165" i="1"/>
  <c r="T154" i="1"/>
  <c r="T30" i="8"/>
  <c r="R30" i="8"/>
  <c r="S48" i="8"/>
  <c r="T48" i="8"/>
  <c r="U48" i="8"/>
  <c r="R48" i="8"/>
  <c r="M76" i="8"/>
  <c r="T92" i="8"/>
  <c r="T94" i="8"/>
  <c r="R92" i="8"/>
  <c r="R94" i="8"/>
  <c r="S92" i="8"/>
  <c r="P94" i="8"/>
  <c r="S94" i="8"/>
  <c r="S12" i="8"/>
  <c r="T12" i="8"/>
  <c r="U12" i="8"/>
  <c r="P12" i="1"/>
  <c r="R12" i="8"/>
  <c r="T22" i="8"/>
  <c r="R22" i="8"/>
  <c r="P22" i="1"/>
  <c r="R68" i="8"/>
  <c r="S68" i="8"/>
  <c r="T68" i="8"/>
  <c r="U68" i="8"/>
  <c r="S143" i="8"/>
  <c r="T143" i="8"/>
  <c r="R143" i="8"/>
  <c r="P149" i="8"/>
  <c r="U143" i="8"/>
  <c r="P143" i="1"/>
  <c r="T39" i="8"/>
  <c r="P39" i="1"/>
  <c r="R39" i="8"/>
  <c r="U38" i="1"/>
  <c r="T38" i="1"/>
  <c r="R165" i="1"/>
  <c r="M53" i="1"/>
  <c r="S154" i="1"/>
  <c r="U162" i="8"/>
  <c r="T162" i="8"/>
  <c r="S162" i="8"/>
  <c r="P167" i="8"/>
  <c r="R162" i="8"/>
  <c r="T144" i="8"/>
  <c r="U144" i="8"/>
  <c r="S144" i="8"/>
  <c r="R144" i="8"/>
  <c r="S10" i="8"/>
  <c r="U10" i="8"/>
  <c r="R10" i="8"/>
  <c r="P10" i="1"/>
  <c r="T10" i="8"/>
  <c r="P8" i="8"/>
  <c r="T35" i="8"/>
  <c r="R35" i="8"/>
  <c r="P34" i="8"/>
  <c r="T61" i="8"/>
  <c r="R61" i="8"/>
  <c r="P61" i="1"/>
  <c r="T105" i="8"/>
  <c r="R105" i="8"/>
  <c r="T82" i="8"/>
  <c r="R82" i="8"/>
  <c r="P82" i="1"/>
  <c r="P80" i="8"/>
  <c r="T137" i="8"/>
  <c r="R137" i="8"/>
  <c r="P137" i="1"/>
  <c r="T26" i="8"/>
  <c r="P26" i="1"/>
  <c r="R26" i="8"/>
  <c r="U69" i="1"/>
  <c r="T54" i="8"/>
  <c r="U54" i="8"/>
  <c r="S54" i="8"/>
  <c r="R54" i="8"/>
  <c r="T99" i="8"/>
  <c r="U99" i="8"/>
  <c r="S99" i="8"/>
  <c r="P109" i="8"/>
  <c r="R99" i="8"/>
  <c r="T16" i="8"/>
  <c r="R16" i="8"/>
  <c r="T41" i="8"/>
  <c r="R41" i="8"/>
  <c r="P41" i="1"/>
  <c r="S117" i="8"/>
  <c r="T117" i="8"/>
  <c r="R117" i="8"/>
  <c r="S14" i="8"/>
  <c r="U14" i="8"/>
  <c r="R14" i="8"/>
  <c r="T14" i="8"/>
  <c r="T42" i="8"/>
  <c r="R42" i="8"/>
  <c r="P42" i="1"/>
  <c r="S116" i="8"/>
  <c r="R116" i="8"/>
  <c r="P132" i="8"/>
  <c r="T116" i="8"/>
  <c r="T136" i="8"/>
  <c r="P136" i="1"/>
  <c r="R136" i="8"/>
  <c r="T66" i="8"/>
  <c r="R66" i="8"/>
  <c r="T165" i="8"/>
  <c r="R165" i="8"/>
  <c r="P140" i="8"/>
  <c r="R135" i="8"/>
  <c r="P135" i="1"/>
  <c r="T135" i="8"/>
  <c r="S135" i="8"/>
  <c r="U135" i="8"/>
  <c r="R29" i="8"/>
  <c r="T29" i="8"/>
  <c r="R86" i="1"/>
  <c r="S64" i="1"/>
  <c r="U64" i="1"/>
  <c r="R64" i="1"/>
  <c r="O8" i="1"/>
  <c r="T107" i="8"/>
  <c r="R107" i="8"/>
  <c r="P107" i="1"/>
  <c r="P20" i="8"/>
  <c r="R21" i="8"/>
  <c r="T21" i="8"/>
  <c r="T84" i="8"/>
  <c r="R84" i="8"/>
  <c r="P84" i="1"/>
  <c r="T103" i="8"/>
  <c r="R103" i="8"/>
  <c r="P103" i="1"/>
  <c r="T72" i="8"/>
  <c r="P72" i="1"/>
  <c r="R72" i="8"/>
  <c r="L52" i="8"/>
  <c r="T66" i="1"/>
  <c r="U66" i="1"/>
  <c r="L53" i="9"/>
  <c r="H53" i="1"/>
  <c r="U57" i="9"/>
  <c r="T57" i="9"/>
  <c r="S57" i="9"/>
  <c r="P57" i="1"/>
  <c r="R57" i="9"/>
  <c r="T83" i="9"/>
  <c r="P83" i="1"/>
  <c r="R83" i="9"/>
  <c r="P80" i="9"/>
  <c r="J11" i="15"/>
  <c r="J11" i="3"/>
  <c r="N91" i="9"/>
  <c r="T51" i="1"/>
  <c r="U51" i="1"/>
  <c r="R162" i="9"/>
  <c r="P167" i="9"/>
  <c r="T162" i="9"/>
  <c r="U162" i="9"/>
  <c r="P162" i="1"/>
  <c r="G78" i="9"/>
  <c r="T155" i="9"/>
  <c r="T158" i="9"/>
  <c r="R155" i="9"/>
  <c r="P158" i="9"/>
  <c r="P155" i="1"/>
  <c r="R66" i="1"/>
  <c r="R164" i="9"/>
  <c r="P164" i="1"/>
  <c r="T164" i="9"/>
  <c r="R118" i="9"/>
  <c r="T118" i="9"/>
  <c r="S118" i="9"/>
  <c r="P8" i="9"/>
  <c r="T9" i="9"/>
  <c r="R9" i="9"/>
  <c r="P9" i="1"/>
  <c r="P132" i="9"/>
  <c r="P11" i="1"/>
  <c r="R11" i="9"/>
  <c r="T11" i="9"/>
  <c r="T104" i="9"/>
  <c r="P104" i="1"/>
  <c r="R104" i="9"/>
  <c r="P105" i="1"/>
  <c r="T105" i="9"/>
  <c r="R105" i="9"/>
  <c r="T40" i="9"/>
  <c r="P34" i="9"/>
  <c r="P40" i="1"/>
  <c r="R40" i="9"/>
  <c r="P144" i="1"/>
  <c r="R144" i="9"/>
  <c r="T144" i="9"/>
  <c r="T149" i="9"/>
  <c r="U144" i="9"/>
  <c r="P149" i="9"/>
  <c r="T120" i="9"/>
  <c r="R120" i="9"/>
  <c r="L94" i="1"/>
  <c r="U100" i="9"/>
  <c r="R100" i="9"/>
  <c r="T100" i="9"/>
  <c r="S100" i="9"/>
  <c r="P100" i="1"/>
  <c r="S100" i="1"/>
  <c r="U68" i="9"/>
  <c r="R68" i="9"/>
  <c r="T68" i="9"/>
  <c r="S68" i="9"/>
  <c r="P68" i="1"/>
  <c r="R68" i="1"/>
  <c r="S59" i="9"/>
  <c r="R59" i="9"/>
  <c r="U59" i="9"/>
  <c r="T59" i="9"/>
  <c r="P59" i="1"/>
  <c r="O52" i="1"/>
  <c r="P52" i="9"/>
  <c r="O76" i="9"/>
  <c r="O78" i="9"/>
  <c r="O88" i="9"/>
  <c r="L23" i="15"/>
  <c r="O21" i="15"/>
  <c r="T99" i="9"/>
  <c r="R99" i="9"/>
  <c r="P99" i="1"/>
  <c r="P109" i="9"/>
  <c r="T30" i="9"/>
  <c r="R30" i="9"/>
  <c r="P30" i="1"/>
  <c r="P28" i="1"/>
  <c r="U28" i="9"/>
  <c r="T28" i="9"/>
  <c r="R28" i="9"/>
  <c r="T62" i="9"/>
  <c r="S62" i="9"/>
  <c r="U62" i="9"/>
  <c r="P62" i="1"/>
  <c r="R62" i="9"/>
  <c r="O91" i="9"/>
  <c r="K11" i="15"/>
  <c r="K11" i="3"/>
  <c r="R16" i="9"/>
  <c r="P16" i="1"/>
  <c r="T16" i="9"/>
  <c r="I54" i="1"/>
  <c r="M54" i="9"/>
  <c r="T14" i="9"/>
  <c r="P14" i="1"/>
  <c r="R14" i="9"/>
  <c r="U25" i="9"/>
  <c r="T25" i="9"/>
  <c r="P25" i="1"/>
  <c r="S25" i="9"/>
  <c r="R25" i="9"/>
  <c r="P20" i="9"/>
  <c r="U60" i="9"/>
  <c r="T60" i="9"/>
  <c r="R60" i="9"/>
  <c r="S60" i="9"/>
  <c r="P60" i="1"/>
  <c r="T126" i="9"/>
  <c r="R126" i="9"/>
  <c r="M31" i="11"/>
  <c r="H31" i="2"/>
  <c r="N31" i="11"/>
  <c r="N15" i="2"/>
  <c r="K45" i="2"/>
  <c r="K66" i="2"/>
  <c r="L29" i="3"/>
  <c r="K29" i="3"/>
  <c r="I45" i="2"/>
  <c r="I66" i="2"/>
  <c r="J45" i="2"/>
  <c r="J66" i="2"/>
  <c r="N7" i="15"/>
  <c r="H7" i="3"/>
  <c r="R45" i="7"/>
  <c r="I23" i="13"/>
  <c r="J23" i="13"/>
  <c r="J54" i="1"/>
  <c r="N54" i="7"/>
  <c r="P54" i="7"/>
  <c r="R54" i="7"/>
  <c r="M34" i="1"/>
  <c r="M45" i="7"/>
  <c r="G53" i="1"/>
  <c r="U53" i="7"/>
  <c r="T53" i="7"/>
  <c r="M23" i="3"/>
  <c r="O76" i="7"/>
  <c r="J76" i="7"/>
  <c r="N19" i="13"/>
  <c r="O20" i="13"/>
  <c r="L20" i="3"/>
  <c r="N20" i="13"/>
  <c r="M30" i="15"/>
  <c r="G76" i="1"/>
  <c r="O7" i="3"/>
  <c r="Q54" i="1"/>
  <c r="G78" i="7"/>
  <c r="T52" i="7"/>
  <c r="U52" i="7"/>
  <c r="G52" i="1"/>
  <c r="H88" i="7"/>
  <c r="M7" i="3"/>
  <c r="M25" i="13"/>
  <c r="M30" i="13"/>
  <c r="L88" i="7"/>
  <c r="T167" i="7"/>
  <c r="S158" i="8"/>
  <c r="U94" i="8"/>
  <c r="S51" i="1"/>
  <c r="O96" i="8"/>
  <c r="N11" i="14"/>
  <c r="U138" i="1"/>
  <c r="R158" i="8"/>
  <c r="S49" i="1"/>
  <c r="R49" i="1"/>
  <c r="U13" i="1"/>
  <c r="T29" i="1"/>
  <c r="S13" i="1"/>
  <c r="S27" i="1"/>
  <c r="S55" i="1"/>
  <c r="R27" i="1"/>
  <c r="T27" i="1"/>
  <c r="R55" i="1"/>
  <c r="T55" i="1"/>
  <c r="U149" i="7"/>
  <c r="S149" i="7"/>
  <c r="R109" i="7"/>
  <c r="T109" i="7"/>
  <c r="O19" i="13"/>
  <c r="L23" i="13"/>
  <c r="O23" i="13"/>
  <c r="T140" i="7"/>
  <c r="S21" i="1"/>
  <c r="S152" i="1"/>
  <c r="S50" i="1"/>
  <c r="S140" i="9"/>
  <c r="U21" i="1"/>
  <c r="T24" i="1"/>
  <c r="U152" i="1"/>
  <c r="T34" i="7"/>
  <c r="T45" i="7"/>
  <c r="R80" i="9"/>
  <c r="L11" i="15"/>
  <c r="N11" i="15"/>
  <c r="T152" i="1"/>
  <c r="T34" i="9"/>
  <c r="P140" i="1"/>
  <c r="U140" i="1"/>
  <c r="U24" i="1"/>
  <c r="R69" i="1"/>
  <c r="T140" i="9"/>
  <c r="T109" i="9"/>
  <c r="R34" i="9"/>
  <c r="R132" i="9"/>
  <c r="R158" i="9"/>
  <c r="T80" i="9"/>
  <c r="R106" i="1"/>
  <c r="M45" i="10"/>
  <c r="M66" i="10"/>
  <c r="I66" i="10"/>
  <c r="N45" i="10"/>
  <c r="N66" i="10"/>
  <c r="N16" i="3"/>
  <c r="T158" i="8"/>
  <c r="U50" i="1"/>
  <c r="T50" i="1"/>
  <c r="R138" i="1"/>
  <c r="S138" i="1"/>
  <c r="S52" i="7"/>
  <c r="R52" i="7"/>
  <c r="R76" i="7"/>
  <c r="R78" i="7"/>
  <c r="R88" i="7"/>
  <c r="R96" i="7"/>
  <c r="S54" i="7"/>
  <c r="T54" i="7"/>
  <c r="T76" i="7"/>
  <c r="U54" i="7"/>
  <c r="P76" i="7"/>
  <c r="U76" i="7"/>
  <c r="U140" i="7"/>
  <c r="S140" i="7"/>
  <c r="P45" i="7"/>
  <c r="S34" i="7"/>
  <c r="U34" i="7"/>
  <c r="U80" i="7"/>
  <c r="S80" i="7"/>
  <c r="O45" i="1"/>
  <c r="T167" i="9"/>
  <c r="R20" i="9"/>
  <c r="R109" i="9"/>
  <c r="R149" i="9"/>
  <c r="R140" i="9"/>
  <c r="R167" i="9"/>
  <c r="S15" i="1"/>
  <c r="U15" i="1"/>
  <c r="T13" i="1"/>
  <c r="R34" i="8"/>
  <c r="T146" i="1"/>
  <c r="S58" i="1"/>
  <c r="R140" i="8"/>
  <c r="R15" i="1"/>
  <c r="S65" i="1"/>
  <c r="R65" i="1"/>
  <c r="U65" i="1"/>
  <c r="T65" i="1"/>
  <c r="T101" i="1"/>
  <c r="S23" i="1"/>
  <c r="P80" i="1"/>
  <c r="S80" i="1"/>
  <c r="N45" i="1"/>
  <c r="U63" i="1"/>
  <c r="T63" i="1"/>
  <c r="S63" i="1"/>
  <c r="R63" i="1"/>
  <c r="T73" i="1"/>
  <c r="R73" i="1"/>
  <c r="R23" i="1"/>
  <c r="R20" i="8"/>
  <c r="T167" i="8"/>
  <c r="O21" i="14"/>
  <c r="L23" i="14"/>
  <c r="N21" i="14"/>
  <c r="T80" i="8"/>
  <c r="R156" i="1"/>
  <c r="U156" i="1"/>
  <c r="S156" i="1"/>
  <c r="T156" i="1"/>
  <c r="S163" i="1"/>
  <c r="U163" i="1"/>
  <c r="T163" i="1"/>
  <c r="R163" i="1"/>
  <c r="R70" i="1"/>
  <c r="U70" i="1"/>
  <c r="T70" i="1"/>
  <c r="S70" i="1"/>
  <c r="T132" i="8"/>
  <c r="R132" i="8"/>
  <c r="S36" i="1"/>
  <c r="T36" i="1"/>
  <c r="R36" i="1"/>
  <c r="U36" i="1"/>
  <c r="T20" i="8"/>
  <c r="N13" i="3"/>
  <c r="H78" i="1"/>
  <c r="T103" i="1"/>
  <c r="R103" i="1"/>
  <c r="U135" i="1"/>
  <c r="S135" i="1"/>
  <c r="T135" i="1"/>
  <c r="R135" i="1"/>
  <c r="T41" i="1"/>
  <c r="R41" i="1"/>
  <c r="U26" i="1"/>
  <c r="R26" i="1"/>
  <c r="T26" i="1"/>
  <c r="S26" i="1"/>
  <c r="T8" i="8"/>
  <c r="T143" i="1"/>
  <c r="U143" i="1"/>
  <c r="T149" i="8"/>
  <c r="P34" i="1"/>
  <c r="S34" i="1"/>
  <c r="U132" i="8"/>
  <c r="S132" i="8"/>
  <c r="R109" i="8"/>
  <c r="T109" i="8"/>
  <c r="U80" i="8"/>
  <c r="S80" i="8"/>
  <c r="S61" i="1"/>
  <c r="R61" i="1"/>
  <c r="T61" i="1"/>
  <c r="S10" i="1"/>
  <c r="U10" i="1"/>
  <c r="T10" i="1"/>
  <c r="R10" i="1"/>
  <c r="R167" i="8"/>
  <c r="G96" i="8"/>
  <c r="M25" i="3"/>
  <c r="M30" i="3"/>
  <c r="S68" i="1"/>
  <c r="R143" i="1"/>
  <c r="S140" i="1"/>
  <c r="S72" i="1"/>
  <c r="R72" i="1"/>
  <c r="T72" i="1"/>
  <c r="U72" i="1"/>
  <c r="I9" i="14"/>
  <c r="M96" i="8"/>
  <c r="T107" i="1"/>
  <c r="R107" i="1"/>
  <c r="S140" i="8"/>
  <c r="U140" i="8"/>
  <c r="S136" i="1"/>
  <c r="R136" i="1"/>
  <c r="U136" i="1"/>
  <c r="T136" i="1"/>
  <c r="T42" i="1"/>
  <c r="R42" i="1"/>
  <c r="S109" i="8"/>
  <c r="U109" i="8"/>
  <c r="U137" i="1"/>
  <c r="T137" i="1"/>
  <c r="S137" i="1"/>
  <c r="R137" i="1"/>
  <c r="U82" i="1"/>
  <c r="T82" i="1"/>
  <c r="R82" i="1"/>
  <c r="S82" i="1"/>
  <c r="T34" i="8"/>
  <c r="R8" i="8"/>
  <c r="U167" i="8"/>
  <c r="S167" i="8"/>
  <c r="T39" i="1"/>
  <c r="R39" i="1"/>
  <c r="S149" i="8"/>
  <c r="U149" i="8"/>
  <c r="K78" i="1"/>
  <c r="J9" i="14"/>
  <c r="S143" i="1"/>
  <c r="P52" i="8"/>
  <c r="P52" i="1"/>
  <c r="L76" i="8"/>
  <c r="L78" i="8"/>
  <c r="L88" i="8"/>
  <c r="L52" i="1"/>
  <c r="R84" i="1"/>
  <c r="T84" i="1"/>
  <c r="T140" i="8"/>
  <c r="R80" i="8"/>
  <c r="U8" i="8"/>
  <c r="S8" i="8"/>
  <c r="P45" i="8"/>
  <c r="R149" i="8"/>
  <c r="T22" i="1"/>
  <c r="U22" i="1"/>
  <c r="S22" i="1"/>
  <c r="R22" i="1"/>
  <c r="S12" i="1"/>
  <c r="T12" i="1"/>
  <c r="R12" i="1"/>
  <c r="U12" i="1"/>
  <c r="T60" i="1"/>
  <c r="R60" i="1"/>
  <c r="S60" i="1"/>
  <c r="U60" i="1"/>
  <c r="U25" i="1"/>
  <c r="S25" i="1"/>
  <c r="T25" i="1"/>
  <c r="R25" i="1"/>
  <c r="T14" i="1"/>
  <c r="U14" i="1"/>
  <c r="S14" i="1"/>
  <c r="R14" i="1"/>
  <c r="R16" i="1"/>
  <c r="T16" i="1"/>
  <c r="O94" i="9"/>
  <c r="O94" i="1"/>
  <c r="O91" i="1"/>
  <c r="T59" i="1"/>
  <c r="U59" i="1"/>
  <c r="R59" i="1"/>
  <c r="S59" i="1"/>
  <c r="U40" i="1"/>
  <c r="S40" i="1"/>
  <c r="R40" i="1"/>
  <c r="T40" i="1"/>
  <c r="U9" i="1"/>
  <c r="S9" i="1"/>
  <c r="T9" i="1"/>
  <c r="R9" i="1"/>
  <c r="S164" i="1"/>
  <c r="R164" i="1"/>
  <c r="T164" i="1"/>
  <c r="O11" i="15"/>
  <c r="L11" i="3"/>
  <c r="T162" i="1"/>
  <c r="S162" i="1"/>
  <c r="R162" i="1"/>
  <c r="U162" i="1"/>
  <c r="O96" i="9"/>
  <c r="K9" i="15"/>
  <c r="U57" i="1"/>
  <c r="T57" i="1"/>
  <c r="R57" i="1"/>
  <c r="S57" i="1"/>
  <c r="P20" i="1"/>
  <c r="U20" i="9"/>
  <c r="S20" i="9"/>
  <c r="T20" i="9"/>
  <c r="R28" i="1"/>
  <c r="T28" i="1"/>
  <c r="U28" i="1"/>
  <c r="P109" i="1"/>
  <c r="S109" i="1"/>
  <c r="S109" i="9"/>
  <c r="U109" i="9"/>
  <c r="U68" i="1"/>
  <c r="T68" i="1"/>
  <c r="T105" i="1"/>
  <c r="R105" i="1"/>
  <c r="R8" i="9"/>
  <c r="T132" i="9"/>
  <c r="N21" i="3"/>
  <c r="S155" i="1"/>
  <c r="R155" i="1"/>
  <c r="T155" i="1"/>
  <c r="N94" i="9"/>
  <c r="N91" i="1"/>
  <c r="P91" i="9"/>
  <c r="U83" i="1"/>
  <c r="T83" i="1"/>
  <c r="S83" i="1"/>
  <c r="R83" i="1"/>
  <c r="T62" i="1"/>
  <c r="R62" i="1"/>
  <c r="U62" i="1"/>
  <c r="S62" i="1"/>
  <c r="I76" i="1"/>
  <c r="T30" i="1"/>
  <c r="R30" i="1"/>
  <c r="T99" i="1"/>
  <c r="R99" i="1"/>
  <c r="U52" i="9"/>
  <c r="T52" i="9"/>
  <c r="S52" i="9"/>
  <c r="R52" i="9"/>
  <c r="T100" i="1"/>
  <c r="R100" i="1"/>
  <c r="P149" i="1"/>
  <c r="U149" i="9"/>
  <c r="S149" i="9"/>
  <c r="R144" i="1"/>
  <c r="T144" i="1"/>
  <c r="U144" i="1"/>
  <c r="S144" i="1"/>
  <c r="U132" i="9"/>
  <c r="P132" i="1"/>
  <c r="S132" i="9"/>
  <c r="T8" i="9"/>
  <c r="S158" i="9"/>
  <c r="P158" i="1"/>
  <c r="U158" i="9"/>
  <c r="G88" i="9"/>
  <c r="P53" i="9"/>
  <c r="L76" i="9"/>
  <c r="L53" i="1"/>
  <c r="I78" i="1"/>
  <c r="P54" i="9"/>
  <c r="M76" i="9"/>
  <c r="M54" i="1"/>
  <c r="O23" i="15"/>
  <c r="N23" i="15"/>
  <c r="H76" i="1"/>
  <c r="T104" i="1"/>
  <c r="R104" i="1"/>
  <c r="T11" i="1"/>
  <c r="R11" i="1"/>
  <c r="P45" i="9"/>
  <c r="P8" i="1"/>
  <c r="S167" i="9"/>
  <c r="P167" i="1"/>
  <c r="U167" i="9"/>
  <c r="N45" i="11"/>
  <c r="N66" i="11"/>
  <c r="M45" i="11"/>
  <c r="M66" i="11"/>
  <c r="H45" i="2"/>
  <c r="H29" i="3"/>
  <c r="N31" i="2"/>
  <c r="M31" i="2"/>
  <c r="O76" i="1"/>
  <c r="O78" i="7"/>
  <c r="M78" i="7"/>
  <c r="M45" i="1"/>
  <c r="N54" i="1"/>
  <c r="N76" i="7"/>
  <c r="J76" i="1"/>
  <c r="J78" i="7"/>
  <c r="N19" i="3"/>
  <c r="O19" i="3"/>
  <c r="L23" i="3"/>
  <c r="N20" i="3"/>
  <c r="O20" i="3"/>
  <c r="G88" i="7"/>
  <c r="G78" i="1"/>
  <c r="L96" i="7"/>
  <c r="H9" i="13"/>
  <c r="I96" i="7"/>
  <c r="I96" i="1"/>
  <c r="I88" i="1"/>
  <c r="N7" i="3"/>
  <c r="H96" i="7"/>
  <c r="H96" i="1"/>
  <c r="H88" i="1"/>
  <c r="Q76" i="1"/>
  <c r="R45" i="8"/>
  <c r="N23" i="13"/>
  <c r="S76" i="7"/>
  <c r="T78" i="7"/>
  <c r="T88" i="7"/>
  <c r="T96" i="7"/>
  <c r="R45" i="9"/>
  <c r="P76" i="9"/>
  <c r="T149" i="1"/>
  <c r="U45" i="7"/>
  <c r="S45" i="7"/>
  <c r="P78" i="7"/>
  <c r="S78" i="7"/>
  <c r="R158" i="1"/>
  <c r="T45" i="9"/>
  <c r="U80" i="1"/>
  <c r="R149" i="1"/>
  <c r="R80" i="1"/>
  <c r="T52" i="1"/>
  <c r="U52" i="1"/>
  <c r="T167" i="1"/>
  <c r="T158" i="1"/>
  <c r="O23" i="14"/>
  <c r="N23" i="14"/>
  <c r="U34" i="1"/>
  <c r="T80" i="1"/>
  <c r="R34" i="1"/>
  <c r="H9" i="14"/>
  <c r="L96" i="8"/>
  <c r="S52" i="8"/>
  <c r="R52" i="8"/>
  <c r="R76" i="8"/>
  <c r="R78" i="8"/>
  <c r="R88" i="8"/>
  <c r="R96" i="8"/>
  <c r="T52" i="8"/>
  <c r="T76" i="8"/>
  <c r="U52" i="8"/>
  <c r="P76" i="8"/>
  <c r="R140" i="1"/>
  <c r="T34" i="1"/>
  <c r="T45" i="8"/>
  <c r="T140" i="1"/>
  <c r="U45" i="8"/>
  <c r="S45" i="8"/>
  <c r="T8" i="1"/>
  <c r="T20" i="1"/>
  <c r="K96" i="1"/>
  <c r="K88" i="1"/>
  <c r="R109" i="1"/>
  <c r="N94" i="1"/>
  <c r="P94" i="9"/>
  <c r="N96" i="9"/>
  <c r="S76" i="9"/>
  <c r="U76" i="9"/>
  <c r="S167" i="1"/>
  <c r="U167" i="1"/>
  <c r="M76" i="1"/>
  <c r="M78" i="9"/>
  <c r="M88" i="9"/>
  <c r="L76" i="1"/>
  <c r="L78" i="9"/>
  <c r="P91" i="1"/>
  <c r="S91" i="9"/>
  <c r="T91" i="9"/>
  <c r="T94" i="9"/>
  <c r="R91" i="9"/>
  <c r="R94" i="9"/>
  <c r="U91" i="9"/>
  <c r="U20" i="1"/>
  <c r="S20" i="1"/>
  <c r="R167" i="1"/>
  <c r="N11" i="3"/>
  <c r="O11" i="3"/>
  <c r="U8" i="1"/>
  <c r="S8" i="1"/>
  <c r="P78" i="9"/>
  <c r="P45" i="1"/>
  <c r="S45" i="9"/>
  <c r="U45" i="9"/>
  <c r="G96" i="9"/>
  <c r="T109" i="1"/>
  <c r="R54" i="9"/>
  <c r="S54" i="9"/>
  <c r="P54" i="1"/>
  <c r="T54" i="9"/>
  <c r="U54" i="9"/>
  <c r="T53" i="9"/>
  <c r="P53" i="1"/>
  <c r="S53" i="9"/>
  <c r="R53" i="9"/>
  <c r="R76" i="9"/>
  <c r="R78" i="9"/>
  <c r="R88" i="9"/>
  <c r="U53" i="9"/>
  <c r="S158" i="1"/>
  <c r="U158" i="1"/>
  <c r="S132" i="1"/>
  <c r="U132" i="1"/>
  <c r="S149" i="1"/>
  <c r="U149" i="1"/>
  <c r="S52" i="1"/>
  <c r="R52" i="1"/>
  <c r="R8" i="1"/>
  <c r="R20" i="1"/>
  <c r="H66" i="2"/>
  <c r="N45" i="2"/>
  <c r="N66" i="2"/>
  <c r="M45" i="2"/>
  <c r="M66" i="2"/>
  <c r="J88" i="7"/>
  <c r="J78" i="1"/>
  <c r="O78" i="1"/>
  <c r="O88" i="7"/>
  <c r="M88" i="7"/>
  <c r="M78" i="1"/>
  <c r="N76" i="1"/>
  <c r="N78" i="7"/>
  <c r="O23" i="3"/>
  <c r="N23" i="3"/>
  <c r="Q78" i="1"/>
  <c r="H25" i="13"/>
  <c r="G88" i="1"/>
  <c r="G96" i="7"/>
  <c r="P88" i="7"/>
  <c r="S88" i="7"/>
  <c r="U78" i="7"/>
  <c r="R96" i="9"/>
  <c r="T76" i="9"/>
  <c r="T78" i="9"/>
  <c r="T88" i="9"/>
  <c r="T96" i="9"/>
  <c r="T78" i="8"/>
  <c r="T88" i="8"/>
  <c r="T96" i="8"/>
  <c r="T45" i="1"/>
  <c r="S76" i="8"/>
  <c r="U76" i="8"/>
  <c r="P78" i="8"/>
  <c r="P78" i="1"/>
  <c r="U78" i="1"/>
  <c r="P76" i="1"/>
  <c r="L9" i="14"/>
  <c r="H25" i="14"/>
  <c r="H30" i="14"/>
  <c r="R45" i="1"/>
  <c r="R53" i="1"/>
  <c r="S53" i="1"/>
  <c r="T53" i="1"/>
  <c r="U53" i="1"/>
  <c r="U54" i="1"/>
  <c r="T54" i="1"/>
  <c r="R54" i="1"/>
  <c r="S54" i="1"/>
  <c r="S45" i="1"/>
  <c r="U45" i="1"/>
  <c r="S94" i="9"/>
  <c r="U94" i="9"/>
  <c r="P94" i="1"/>
  <c r="M96" i="9"/>
  <c r="I9" i="15"/>
  <c r="P88" i="9"/>
  <c r="S78" i="9"/>
  <c r="U78" i="9"/>
  <c r="L88" i="9"/>
  <c r="L78" i="1"/>
  <c r="T91" i="1"/>
  <c r="T94" i="1"/>
  <c r="R91" i="1"/>
  <c r="R94" i="1"/>
  <c r="U91" i="1"/>
  <c r="S91" i="1"/>
  <c r="N88" i="7"/>
  <c r="N78" i="1"/>
  <c r="O96" i="7"/>
  <c r="O96" i="1"/>
  <c r="K9" i="13"/>
  <c r="K9" i="3"/>
  <c r="O88" i="1"/>
  <c r="M88" i="1"/>
  <c r="I9" i="13"/>
  <c r="M96" i="7"/>
  <c r="J88" i="1"/>
  <c r="J96" i="7"/>
  <c r="J96" i="1"/>
  <c r="G96" i="1"/>
  <c r="I7" i="13"/>
  <c r="H30" i="13"/>
  <c r="Q88" i="1"/>
  <c r="P96" i="7"/>
  <c r="U96" i="7"/>
  <c r="U88" i="7"/>
  <c r="P88" i="8"/>
  <c r="P88" i="1"/>
  <c r="U88" i="1"/>
  <c r="S78" i="8"/>
  <c r="U78" i="8"/>
  <c r="R76" i="1"/>
  <c r="R78" i="1"/>
  <c r="R88" i="1"/>
  <c r="R96" i="1"/>
  <c r="T76" i="1"/>
  <c r="T78" i="1"/>
  <c r="T88" i="1"/>
  <c r="T96" i="1"/>
  <c r="I7" i="14"/>
  <c r="I25" i="14"/>
  <c r="U76" i="1"/>
  <c r="S76" i="1"/>
  <c r="N9" i="14"/>
  <c r="O9" i="14"/>
  <c r="L25" i="14"/>
  <c r="U94" i="1"/>
  <c r="S94" i="1"/>
  <c r="H9" i="15"/>
  <c r="L96" i="9"/>
  <c r="L96" i="1"/>
  <c r="L88" i="1"/>
  <c r="S88" i="9"/>
  <c r="P96" i="9"/>
  <c r="U88" i="9"/>
  <c r="M96" i="1"/>
  <c r="S78" i="1"/>
  <c r="I9" i="3"/>
  <c r="N96" i="7"/>
  <c r="N96" i="1"/>
  <c r="N88" i="1"/>
  <c r="J9" i="13"/>
  <c r="J9" i="3"/>
  <c r="Q96" i="1"/>
  <c r="S96" i="7"/>
  <c r="I25" i="13"/>
  <c r="N25" i="14"/>
  <c r="O25" i="14"/>
  <c r="L30" i="14"/>
  <c r="I30" i="14"/>
  <c r="J7" i="14"/>
  <c r="J25" i="14"/>
  <c r="P96" i="8"/>
  <c r="P96" i="1"/>
  <c r="U96" i="1"/>
  <c r="S88" i="8"/>
  <c r="U88" i="8"/>
  <c r="S96" i="9"/>
  <c r="U96" i="9"/>
  <c r="L9" i="15"/>
  <c r="H25" i="15"/>
  <c r="H9" i="3"/>
  <c r="H25" i="3"/>
  <c r="H30" i="3"/>
  <c r="S88" i="1"/>
  <c r="L9" i="13"/>
  <c r="I30" i="13"/>
  <c r="J7" i="13"/>
  <c r="S96" i="8"/>
  <c r="U96" i="8"/>
  <c r="J30" i="14"/>
  <c r="K7" i="14"/>
  <c r="K25" i="14"/>
  <c r="K30" i="14"/>
  <c r="I7" i="15"/>
  <c r="H30" i="15"/>
  <c r="O9" i="15"/>
  <c r="L25" i="15"/>
  <c r="N9" i="15"/>
  <c r="S96" i="1"/>
  <c r="O9" i="13"/>
  <c r="L25" i="13"/>
  <c r="N9" i="13"/>
  <c r="L9" i="3"/>
  <c r="J25" i="13"/>
  <c r="L30" i="15"/>
  <c r="O25" i="15"/>
  <c r="N25" i="15"/>
  <c r="I25" i="15"/>
  <c r="I7" i="3"/>
  <c r="I25" i="3"/>
  <c r="I30" i="3"/>
  <c r="O9" i="3"/>
  <c r="N9" i="3"/>
  <c r="L25" i="3"/>
  <c r="N25" i="13"/>
  <c r="O25" i="13"/>
  <c r="L30" i="13"/>
  <c r="J30" i="13"/>
  <c r="K7" i="13"/>
  <c r="J7" i="15"/>
  <c r="I30" i="15"/>
  <c r="O25" i="3"/>
  <c r="L30" i="3"/>
  <c r="N25" i="3"/>
  <c r="K25" i="13"/>
  <c r="K30" i="13"/>
  <c r="J25" i="15"/>
  <c r="J7" i="3"/>
  <c r="J25" i="3"/>
  <c r="J30" i="3"/>
  <c r="J30" i="15"/>
  <c r="K7" i="15"/>
  <c r="K25" i="15"/>
  <c r="K30" i="15"/>
  <c r="K7" i="3"/>
  <c r="K25" i="3"/>
  <c r="K30" i="3"/>
</calcChain>
</file>

<file path=xl/sharedStrings.xml><?xml version="1.0" encoding="utf-8"?>
<sst xmlns="http://schemas.openxmlformats.org/spreadsheetml/2006/main" count="1111" uniqueCount="455">
  <si>
    <t>Miscellaneous Income</t>
    <phoneticPr fontId="4" type="noConversion"/>
  </si>
  <si>
    <t>CAC Funded Activities</t>
    <phoneticPr fontId="4" type="noConversion"/>
  </si>
  <si>
    <t>Internet/Web/Telephone</t>
    <phoneticPr fontId="4" type="noConversion"/>
  </si>
  <si>
    <t>Alpine Lodge - Operations - Total</t>
    <phoneticPr fontId="4" type="noConversion"/>
  </si>
  <si>
    <t>Echo Lodge - Operations - Total</t>
    <phoneticPr fontId="4" type="noConversion"/>
  </si>
  <si>
    <t>CAC - Operations - Total</t>
    <phoneticPr fontId="4" type="noConversion"/>
  </si>
  <si>
    <t>Garbage Service</t>
    <phoneticPr fontId="4" type="noConversion"/>
  </si>
  <si>
    <t>4080b</t>
    <phoneticPr fontId="4" type="noConversion"/>
  </si>
  <si>
    <t>Budget data is required only for Totals items and optional for individual line items.</t>
    <phoneticPr fontId="4" type="noConversion"/>
  </si>
  <si>
    <t>Total Transfers should be zero at the Consolidated level.</t>
    <phoneticPr fontId="4" type="noConversion"/>
  </si>
  <si>
    <t>Improvement descriptions will be relevant only at the individual entity level; Consolidated level can sum Total only.</t>
    <phoneticPr fontId="4" type="noConversion"/>
  </si>
  <si>
    <t>Federal Income Tax</t>
    <phoneticPr fontId="4" type="noConversion"/>
  </si>
  <si>
    <t>CA Franchise Tax</t>
    <phoneticPr fontId="4" type="noConversion"/>
  </si>
  <si>
    <t>TRANSFERS IN/(OUT)</t>
    <phoneticPr fontId="4" type="noConversion"/>
  </si>
  <si>
    <t>TRANSFERS IN/(OUT)</t>
    <phoneticPr fontId="4" type="noConversion"/>
  </si>
  <si>
    <t>Improvements - Current Year</t>
    <phoneticPr fontId="4" type="noConversion"/>
  </si>
  <si>
    <t>Budget ($)</t>
    <phoneticPr fontId="4" type="noConversion"/>
  </si>
  <si>
    <t>Budget (%)</t>
    <phoneticPr fontId="4" type="noConversion"/>
  </si>
  <si>
    <t>vs. LY ($)</t>
    <phoneticPr fontId="4" type="noConversion"/>
  </si>
  <si>
    <t>Budget</t>
    <phoneticPr fontId="4" type="noConversion"/>
  </si>
  <si>
    <t>Wood Stoves</t>
    <phoneticPr fontId="4" type="noConversion"/>
  </si>
  <si>
    <t>Kitchen Equipment</t>
    <phoneticPr fontId="4" type="noConversion"/>
  </si>
  <si>
    <t>Kitchen Equipment</t>
    <phoneticPr fontId="4" type="noConversion"/>
  </si>
  <si>
    <t>Furniture &amp; Fixtures</t>
    <phoneticPr fontId="4" type="noConversion"/>
  </si>
  <si>
    <t>Power Generator</t>
    <phoneticPr fontId="4" type="noConversion"/>
  </si>
  <si>
    <t>TOTAL RECEIVABLES</t>
    <phoneticPr fontId="4" type="noConversion"/>
  </si>
  <si>
    <t>Alpine Lodge</t>
    <phoneticPr fontId="4" type="noConversion"/>
  </si>
  <si>
    <t>Durable Equipment</t>
    <phoneticPr fontId="4" type="noConversion"/>
  </si>
  <si>
    <t>Durable Equipment</t>
    <phoneticPr fontId="4" type="noConversion"/>
  </si>
  <si>
    <t>TOTAL</t>
    <phoneticPr fontId="4" type="noConversion"/>
  </si>
  <si>
    <t>TOTAL</t>
    <phoneticPr fontId="4" type="noConversion"/>
  </si>
  <si>
    <t>Unrestricted Equity</t>
    <phoneticPr fontId="4" type="noConversion"/>
  </si>
  <si>
    <t>Unrestricted Equity</t>
    <phoneticPr fontId="4" type="noConversion"/>
  </si>
  <si>
    <t>Note:  Cash Balance does not include American Century Fund Investment</t>
    <phoneticPr fontId="4" type="noConversion"/>
  </si>
  <si>
    <t>Current Quarter:</t>
    <phoneticPr fontId="4" type="noConversion"/>
  </si>
  <si>
    <t>Loan Receivable - Echo Lodge</t>
    <phoneticPr fontId="4" type="noConversion"/>
  </si>
  <si>
    <t>TOTAL ESL CASH</t>
    <phoneticPr fontId="4" type="noConversion"/>
  </si>
  <si>
    <t>TOTAL AL CASH</t>
    <phoneticPr fontId="4" type="noConversion"/>
  </si>
  <si>
    <t>TOTAL ASSETS</t>
    <phoneticPr fontId="4" type="noConversion"/>
  </si>
  <si>
    <t>Due to CAC Foundation</t>
    <phoneticPr fontId="4" type="noConversion"/>
  </si>
  <si>
    <t>Motel Tax Payable</t>
    <phoneticPr fontId="4" type="noConversion"/>
  </si>
  <si>
    <t>Accommodation Deposits</t>
    <phoneticPr fontId="4" type="noConversion"/>
  </si>
  <si>
    <t>LIABILITIES</t>
    <phoneticPr fontId="4" type="noConversion"/>
  </si>
  <si>
    <t>TOTAL LIABILITIES</t>
    <phoneticPr fontId="4" type="noConversion"/>
  </si>
  <si>
    <t>EQUITY</t>
    <phoneticPr fontId="4" type="noConversion"/>
  </si>
  <si>
    <t>TOTAL OPERATING EXPENSE</t>
  </si>
  <si>
    <t>Electricity</t>
    <phoneticPr fontId="4" type="noConversion"/>
  </si>
  <si>
    <t>Propane</t>
    <phoneticPr fontId="4" type="noConversion"/>
  </si>
  <si>
    <t>Heat</t>
    <phoneticPr fontId="4" type="noConversion"/>
  </si>
  <si>
    <t>Supplies</t>
    <phoneticPr fontId="4" type="noConversion"/>
  </si>
  <si>
    <t>Pantry Food</t>
    <phoneticPr fontId="4" type="noConversion"/>
  </si>
  <si>
    <t>Housekeeping</t>
    <phoneticPr fontId="4" type="noConversion"/>
  </si>
  <si>
    <t>Kitchen</t>
    <phoneticPr fontId="4" type="noConversion"/>
  </si>
  <si>
    <t>First Aid</t>
    <phoneticPr fontId="4" type="noConversion"/>
  </si>
  <si>
    <t>TOTAL Supplies</t>
    <phoneticPr fontId="4" type="noConversion"/>
  </si>
  <si>
    <t>TOTAL Utilities</t>
    <phoneticPr fontId="4" type="noConversion"/>
  </si>
  <si>
    <t>Echo Lodge</t>
    <phoneticPr fontId="4" type="noConversion"/>
  </si>
  <si>
    <t>CAC</t>
    <phoneticPr fontId="4" type="noConversion"/>
  </si>
  <si>
    <t>Total Transfers</t>
    <phoneticPr fontId="4" type="noConversion"/>
  </si>
  <si>
    <t>BEGINNING CASH BALANCE</t>
    <phoneticPr fontId="4" type="noConversion"/>
  </si>
  <si>
    <t>ENDING CASH BALANCE</t>
    <phoneticPr fontId="4" type="noConversion"/>
  </si>
  <si>
    <t>Total Change in Liabilities</t>
    <phoneticPr fontId="4" type="noConversion"/>
  </si>
  <si>
    <t>Total Change in Receivables</t>
    <phoneticPr fontId="4" type="noConversion"/>
  </si>
  <si>
    <t xml:space="preserve">Net Income (Loss) </t>
    <phoneticPr fontId="4" type="noConversion"/>
  </si>
  <si>
    <t>Less:  Improvements</t>
    <phoneticPr fontId="4" type="noConversion"/>
  </si>
  <si>
    <t>Transfers In/Out:</t>
    <phoneticPr fontId="4" type="noConversion"/>
  </si>
  <si>
    <t>Notes:</t>
    <phoneticPr fontId="4" type="noConversion"/>
  </si>
  <si>
    <t>Loan - CAC to Alpine</t>
    <phoneticPr fontId="4" type="noConversion"/>
  </si>
  <si>
    <t>Loan - CAC to Echo</t>
    <phoneticPr fontId="4" type="noConversion"/>
  </si>
  <si>
    <t>Check:</t>
    <phoneticPr fontId="4" type="noConversion"/>
  </si>
  <si>
    <t>Cash Per Bal Sheet</t>
    <phoneticPr fontId="4" type="noConversion"/>
  </si>
  <si>
    <t>Difference (should be zero)</t>
    <phoneticPr fontId="4" type="noConversion"/>
  </si>
  <si>
    <t>Private Events - Outside</t>
    <phoneticPr fontId="4" type="noConversion"/>
  </si>
  <si>
    <t>TOTAL EQUITY</t>
    <phoneticPr fontId="4" type="noConversion"/>
  </si>
  <si>
    <t>Houseware &amp; Linens</t>
  </si>
  <si>
    <t>Garden</t>
  </si>
  <si>
    <t>Loan Payable - Echo Lodge</t>
    <phoneticPr fontId="4" type="noConversion"/>
  </si>
  <si>
    <t>3112-3123</t>
    <phoneticPr fontId="4" type="noConversion"/>
  </si>
  <si>
    <t>FYE</t>
    <phoneticPr fontId="4" type="noConversion"/>
  </si>
  <si>
    <t>CAC</t>
    <phoneticPr fontId="4" type="noConversion"/>
  </si>
  <si>
    <t>CAC</t>
    <phoneticPr fontId="4" type="noConversion"/>
  </si>
  <si>
    <t>Consolidated</t>
    <phoneticPr fontId="4" type="noConversion"/>
  </si>
  <si>
    <t>Water Heaters</t>
    <phoneticPr fontId="4" type="noConversion"/>
  </si>
  <si>
    <t>Wood Stoves</t>
    <phoneticPr fontId="4" type="noConversion"/>
  </si>
  <si>
    <t>CAC CD+MM</t>
    <phoneticPr fontId="4" type="noConversion"/>
  </si>
  <si>
    <t>Check:  Assets = Liab + Equity (should be zero)</t>
    <phoneticPr fontId="4" type="noConversion"/>
  </si>
  <si>
    <t>Quarter:</t>
    <phoneticPr fontId="4" type="noConversion"/>
  </si>
  <si>
    <t>Entries are required for Improvements detail but optional for Expense detail; if no Expense detail is desired, simply enter the total in a single account for that Expense.</t>
    <phoneticPr fontId="4" type="noConversion"/>
  </si>
  <si>
    <t>Property Tax</t>
    <phoneticPr fontId="4" type="noConversion"/>
  </si>
  <si>
    <t>Trail Clearing</t>
    <phoneticPr fontId="4" type="noConversion"/>
  </si>
  <si>
    <t>Equipment Rental</t>
    <phoneticPr fontId="4" type="noConversion"/>
  </si>
  <si>
    <t>Federal Land Use Fees</t>
    <phoneticPr fontId="4" type="noConversion"/>
  </si>
  <si>
    <t>Insurance</t>
    <phoneticPr fontId="4" type="noConversion"/>
  </si>
  <si>
    <t>Miscellaneous Exp</t>
    <phoneticPr fontId="4" type="noConversion"/>
  </si>
  <si>
    <t>Accounting Fees</t>
    <phoneticPr fontId="4" type="noConversion"/>
  </si>
  <si>
    <t>Bank Charges</t>
    <phoneticPr fontId="4" type="noConversion"/>
  </si>
  <si>
    <t>Office Exp &amp; Postage</t>
    <phoneticPr fontId="4" type="noConversion"/>
  </si>
  <si>
    <t>Publications - Printing</t>
    <phoneticPr fontId="4" type="noConversion"/>
  </si>
  <si>
    <t>Publications - Mailing Service</t>
    <phoneticPr fontId="4" type="noConversion"/>
  </si>
  <si>
    <t>ESL CD+MM</t>
  </si>
  <si>
    <t>TOTAL ESL CASH</t>
  </si>
  <si>
    <t>Dues Expense</t>
    <phoneticPr fontId="4" type="noConversion"/>
  </si>
  <si>
    <t>TOTAL INCOME from Operations</t>
    <phoneticPr fontId="4" type="noConversion"/>
  </si>
  <si>
    <t>TOTAL OPERATING EXPENSE</t>
    <phoneticPr fontId="4" type="noConversion"/>
  </si>
  <si>
    <t>NET OPERATING INCOME</t>
    <phoneticPr fontId="4" type="noConversion"/>
  </si>
  <si>
    <t>Dividend Income</t>
    <phoneticPr fontId="4" type="noConversion"/>
  </si>
  <si>
    <t>Events at Alpine - Gross</t>
    <phoneticPr fontId="4" type="noConversion"/>
  </si>
  <si>
    <t>Donations</t>
    <phoneticPr fontId="4" type="noConversion"/>
  </si>
  <si>
    <t>vs. LY (%)</t>
    <phoneticPr fontId="4" type="noConversion"/>
  </si>
  <si>
    <t>Description 10</t>
  </si>
  <si>
    <t>Description 11</t>
  </si>
  <si>
    <t>Description 12</t>
  </si>
  <si>
    <t>Description 13</t>
  </si>
  <si>
    <t>Description 14</t>
  </si>
  <si>
    <t>Description 15</t>
  </si>
  <si>
    <t>Reserved - Other</t>
    <phoneticPr fontId="4" type="noConversion"/>
  </si>
  <si>
    <t>Improvement Reserves:</t>
    <phoneticPr fontId="4" type="noConversion"/>
  </si>
  <si>
    <t>Improvement Reserves:</t>
    <phoneticPr fontId="4" type="noConversion"/>
  </si>
  <si>
    <t>Lodge Main Building</t>
    <phoneticPr fontId="4" type="noConversion"/>
  </si>
  <si>
    <t>Other Buildings</t>
    <phoneticPr fontId="4" type="noConversion"/>
  </si>
  <si>
    <t>Water System</t>
    <phoneticPr fontId="4" type="noConversion"/>
  </si>
  <si>
    <t>Septic System</t>
    <phoneticPr fontId="4" type="noConversion"/>
  </si>
  <si>
    <t>Lodge Deposit Forfeits</t>
    <phoneticPr fontId="4" type="noConversion"/>
  </si>
  <si>
    <t>Donations</t>
    <phoneticPr fontId="4" type="noConversion"/>
  </si>
  <si>
    <t>Member Entrance Fees</t>
    <phoneticPr fontId="4" type="noConversion"/>
  </si>
  <si>
    <t>vs. LY</t>
    <phoneticPr fontId="4" type="noConversion"/>
  </si>
  <si>
    <t>TOTAL LIABILITIES &amp; EQUITY</t>
    <phoneticPr fontId="4" type="noConversion"/>
  </si>
  <si>
    <t>INCOME STATEMENT</t>
    <phoneticPr fontId="4" type="noConversion"/>
  </si>
  <si>
    <t>YTD</t>
    <phoneticPr fontId="4" type="noConversion"/>
  </si>
  <si>
    <t>Check:  Assets = Liab + Equity</t>
    <phoneticPr fontId="4" type="noConversion"/>
  </si>
  <si>
    <t>4080a</t>
    <phoneticPr fontId="4" type="noConversion"/>
  </si>
  <si>
    <t>5183a</t>
    <phoneticPr fontId="4" type="noConversion"/>
  </si>
  <si>
    <t>5183c</t>
    <phoneticPr fontId="4" type="noConversion"/>
  </si>
  <si>
    <t>5212b</t>
    <phoneticPr fontId="4" type="noConversion"/>
  </si>
  <si>
    <t>Qtr Ended</t>
    <phoneticPr fontId="4" type="noConversion"/>
  </si>
  <si>
    <t>Actual vs.</t>
    <phoneticPr fontId="4" type="noConversion"/>
  </si>
  <si>
    <t>Current Yr</t>
    <phoneticPr fontId="4" type="noConversion"/>
  </si>
  <si>
    <t>TOTAL Improvements</t>
    <phoneticPr fontId="4" type="noConversion"/>
  </si>
  <si>
    <t>ESL Checking</t>
    <phoneticPr fontId="4" type="noConversion"/>
  </si>
  <si>
    <t>ESL Savings</t>
    <phoneticPr fontId="4" type="noConversion"/>
  </si>
  <si>
    <t>ESL CD+MM</t>
    <phoneticPr fontId="4" type="noConversion"/>
  </si>
  <si>
    <t>AL Checking</t>
    <phoneticPr fontId="4" type="noConversion"/>
  </si>
  <si>
    <t>AL Savings</t>
    <phoneticPr fontId="4" type="noConversion"/>
  </si>
  <si>
    <t>Housewares/Linen</t>
    <phoneticPr fontId="4" type="noConversion"/>
  </si>
  <si>
    <t>Housewares/Linen</t>
    <phoneticPr fontId="4" type="noConversion"/>
  </si>
  <si>
    <t>TOTAL CAC CONSOL CASH</t>
    <phoneticPr fontId="4" type="noConversion"/>
  </si>
  <si>
    <t>CASH</t>
    <phoneticPr fontId="4" type="noConversion"/>
  </si>
  <si>
    <t>American  Century Fund</t>
    <phoneticPr fontId="4" type="noConversion"/>
  </si>
  <si>
    <t>INVESTMENTS</t>
    <phoneticPr fontId="4" type="noConversion"/>
  </si>
  <si>
    <t>TOTAL INVESTMENTS</t>
    <phoneticPr fontId="4" type="noConversion"/>
  </si>
  <si>
    <t>ACCOUNTS / NOTES RECEIVABLE</t>
    <phoneticPr fontId="4" type="noConversion"/>
  </si>
  <si>
    <t>Loan Receivable - Alpine Lodge</t>
    <phoneticPr fontId="4" type="noConversion"/>
  </si>
  <si>
    <t>Garbage Service</t>
  </si>
  <si>
    <t>Cleaning &amp; Laundry</t>
  </si>
  <si>
    <t>Work Parties</t>
  </si>
  <si>
    <t>Host Training</t>
  </si>
  <si>
    <t>Trail Clearing</t>
  </si>
  <si>
    <t>Equipment Rental</t>
  </si>
  <si>
    <t>8260a</t>
  </si>
  <si>
    <t>Property Tax</t>
  </si>
  <si>
    <t>Federal Income Tax</t>
  </si>
  <si>
    <t>CA Franchise Tax</t>
  </si>
  <si>
    <t>Federal Land Use Fees</t>
  </si>
  <si>
    <t>Accounting Fees</t>
  </si>
  <si>
    <t>Dues Expense</t>
  </si>
  <si>
    <t>Office Expense</t>
  </si>
  <si>
    <t>Publications - Printing</t>
  </si>
  <si>
    <t>Publications - Mailing Service</t>
  </si>
  <si>
    <t>Miscellaneous Exp</t>
  </si>
  <si>
    <t>8111e</t>
  </si>
  <si>
    <t>Kitchen</t>
  </si>
  <si>
    <t>NET OPERATING INCOME</t>
  </si>
  <si>
    <t>OTHER INCOME</t>
  </si>
  <si>
    <t>Dividend Income</t>
  </si>
  <si>
    <t>American Century</t>
  </si>
  <si>
    <t>Interest Received</t>
  </si>
  <si>
    <t>OTHER EXPENSE</t>
  </si>
  <si>
    <t>NET INCOME (LOSS)</t>
  </si>
  <si>
    <t>IMPROVEMENTS:</t>
  </si>
  <si>
    <t>Echo Summit Lodge</t>
  </si>
  <si>
    <t>TOTAL IMPROVEMENTS</t>
  </si>
  <si>
    <t>TOTAL INCOME (LOSS)</t>
  </si>
  <si>
    <t>TOTAL Insurance</t>
    <phoneticPr fontId="4" type="noConversion"/>
  </si>
  <si>
    <t>Office Expense</t>
    <phoneticPr fontId="4" type="noConversion"/>
  </si>
  <si>
    <t>Printing/Copying</t>
    <phoneticPr fontId="4" type="noConversion"/>
  </si>
  <si>
    <t>Office Supplies &amp; Postage</t>
    <phoneticPr fontId="4" type="noConversion"/>
  </si>
  <si>
    <t>P.O. Box</t>
    <phoneticPr fontId="4" type="noConversion"/>
  </si>
  <si>
    <t>TOTAL Office Expense</t>
    <phoneticPr fontId="4" type="noConversion"/>
  </si>
  <si>
    <t>CALIFORNIA ALPINE CLUB</t>
    <phoneticPr fontId="4" type="noConversion"/>
  </si>
  <si>
    <t>INCOME from Operations</t>
    <phoneticPr fontId="4" type="noConversion"/>
  </si>
  <si>
    <t>General Membership Dues</t>
    <phoneticPr fontId="4" type="noConversion"/>
  </si>
  <si>
    <t>Donations</t>
    <phoneticPr fontId="4" type="noConversion"/>
  </si>
  <si>
    <t>Office Expense</t>
    <phoneticPr fontId="4" type="noConversion"/>
  </si>
  <si>
    <t>Other</t>
    <phoneticPr fontId="4" type="noConversion"/>
  </si>
  <si>
    <t>OPERATING EXPENSES:</t>
    <phoneticPr fontId="4" type="noConversion"/>
  </si>
  <si>
    <t>NET INCOME (LOSS)</t>
    <phoneticPr fontId="4" type="noConversion"/>
  </si>
  <si>
    <t>Utilities</t>
    <phoneticPr fontId="4" type="noConversion"/>
  </si>
  <si>
    <t>BALANCE SHEET</t>
    <phoneticPr fontId="4" type="noConversion"/>
  </si>
  <si>
    <t>4080b</t>
    <phoneticPr fontId="4" type="noConversion"/>
  </si>
  <si>
    <t>4080b</t>
    <phoneticPr fontId="4" type="noConversion"/>
  </si>
  <si>
    <t>8111a</t>
    <phoneticPr fontId="4" type="noConversion"/>
  </si>
  <si>
    <t>8111b,c</t>
    <phoneticPr fontId="4" type="noConversion"/>
  </si>
  <si>
    <t>8111d</t>
    <phoneticPr fontId="4" type="noConversion"/>
  </si>
  <si>
    <t>8112a</t>
    <phoneticPr fontId="4" type="noConversion"/>
  </si>
  <si>
    <t>8113b</t>
    <phoneticPr fontId="4" type="noConversion"/>
  </si>
  <si>
    <t xml:space="preserve">8113a </t>
    <phoneticPr fontId="4" type="noConversion"/>
  </si>
  <si>
    <t>8113c</t>
    <phoneticPr fontId="4" type="noConversion"/>
  </si>
  <si>
    <t>8112b</t>
    <phoneticPr fontId="4" type="noConversion"/>
  </si>
  <si>
    <t>8111e</t>
    <phoneticPr fontId="4" type="noConversion"/>
  </si>
  <si>
    <t>8260a</t>
    <phoneticPr fontId="4" type="noConversion"/>
  </si>
  <si>
    <t>8260c</t>
    <phoneticPr fontId="4" type="noConversion"/>
  </si>
  <si>
    <t>Other</t>
    <phoneticPr fontId="4" type="noConversion"/>
  </si>
  <si>
    <t>Account</t>
    <phoneticPr fontId="4" type="noConversion"/>
  </si>
  <si>
    <t>Number</t>
    <phoneticPr fontId="4" type="noConversion"/>
  </si>
  <si>
    <t>Loan Payable - Alpine Lodge</t>
    <phoneticPr fontId="4" type="noConversion"/>
  </si>
  <si>
    <t>Loan - Echo to Alpine</t>
    <phoneticPr fontId="4" type="noConversion"/>
  </si>
  <si>
    <t>Total Transfers</t>
    <phoneticPr fontId="4" type="noConversion"/>
  </si>
  <si>
    <t>EXPENSE DETAIL:</t>
    <phoneticPr fontId="4" type="noConversion"/>
  </si>
  <si>
    <t>Commercial</t>
    <phoneticPr fontId="4" type="noConversion"/>
  </si>
  <si>
    <t>D&amp;O Liability</t>
    <phoneticPr fontId="4" type="noConversion"/>
  </si>
  <si>
    <t>Echo Summit Lodge</t>
    <phoneticPr fontId="4" type="noConversion"/>
  </si>
  <si>
    <t>Alpine Lodge</t>
    <phoneticPr fontId="4" type="noConversion"/>
  </si>
  <si>
    <t>Utilities</t>
    <phoneticPr fontId="4" type="noConversion"/>
  </si>
  <si>
    <t>Supplies</t>
    <phoneticPr fontId="4" type="noConversion"/>
  </si>
  <si>
    <t>Cost of Meals - Echo Lodge</t>
    <phoneticPr fontId="4" type="noConversion"/>
  </si>
  <si>
    <t>Repairs &amp; Maintenance</t>
    <phoneticPr fontId="4" type="noConversion"/>
  </si>
  <si>
    <t>Septic Tank</t>
    <phoneticPr fontId="4" type="noConversion"/>
  </si>
  <si>
    <t>Cleaning &amp; Laundry</t>
    <phoneticPr fontId="4" type="noConversion"/>
  </si>
  <si>
    <t>Work Parties</t>
    <phoneticPr fontId="4" type="noConversion"/>
  </si>
  <si>
    <t>Host Training</t>
    <phoneticPr fontId="4" type="noConversion"/>
  </si>
  <si>
    <t>Total Transfers should be zero at the Consolidated level.</t>
  </si>
  <si>
    <t>Improvement descriptions will be relevant only at the individual entity level; Consolidated level can sum Total only.</t>
  </si>
  <si>
    <t>BALANCE SHEET</t>
  </si>
  <si>
    <t>CASH</t>
  </si>
  <si>
    <t>CAC Wells Fargo Checking</t>
  </si>
  <si>
    <t>CAC Reserve Fund</t>
  </si>
  <si>
    <t>CAC CD+MM</t>
  </si>
  <si>
    <t>TOTAL CAC CASH</t>
  </si>
  <si>
    <t>ESL Checking</t>
  </si>
  <si>
    <t>ESL Savings</t>
  </si>
  <si>
    <t>AL Checking</t>
  </si>
  <si>
    <t>AL Savings</t>
  </si>
  <si>
    <t>AL CD+MM</t>
  </si>
  <si>
    <t>TOTAL AL CASH</t>
  </si>
  <si>
    <t>TOTAL CAC CONSOL CASH</t>
  </si>
  <si>
    <t>INVESTMENTS</t>
  </si>
  <si>
    <t>American  Century Fund</t>
  </si>
  <si>
    <t>TOTAL INVESTMENTS</t>
  </si>
  <si>
    <t>ACCOUNTS / NOTES RECEIVABLE</t>
  </si>
  <si>
    <t>Loan Receivable - Alpine Lodge</t>
  </si>
  <si>
    <t>Loan Receivable - Echo Lodge</t>
  </si>
  <si>
    <t>TOTAL RECEIVABLES</t>
  </si>
  <si>
    <t>Accommodations Outside</t>
    <phoneticPr fontId="4" type="noConversion"/>
  </si>
  <si>
    <t>Accommodations Members</t>
    <phoneticPr fontId="4" type="noConversion"/>
  </si>
  <si>
    <t>Larry Rent</t>
    <phoneticPr fontId="4" type="noConversion"/>
  </si>
  <si>
    <t>Alpine Lodge</t>
    <phoneticPr fontId="4" type="noConversion"/>
  </si>
  <si>
    <t>Meals Revenue</t>
    <phoneticPr fontId="4" type="noConversion"/>
  </si>
  <si>
    <t>Lodging Revenue</t>
    <phoneticPr fontId="4" type="noConversion"/>
  </si>
  <si>
    <t>Private Events - Members</t>
    <phoneticPr fontId="4" type="noConversion"/>
  </si>
  <si>
    <t>CALIFORNIA ALPINE CLUB</t>
  </si>
  <si>
    <t>Alpine Lodge</t>
  </si>
  <si>
    <t>INCOME STATEMENT</t>
  </si>
  <si>
    <t>Current Quarter:</t>
  </si>
  <si>
    <t>TOTAL</t>
  </si>
  <si>
    <t>Associate Member Dues</t>
    <phoneticPr fontId="4" type="noConversion"/>
  </si>
  <si>
    <t>Current Yr</t>
  </si>
  <si>
    <t>STATEMENT OF CASH FLOW</t>
    <phoneticPr fontId="4" type="noConversion"/>
  </si>
  <si>
    <t>Grant Transfer to Alpine Lodge</t>
    <phoneticPr fontId="4" type="noConversion"/>
  </si>
  <si>
    <t>Grant Transfer to Echo Lodge</t>
    <phoneticPr fontId="4" type="noConversion"/>
  </si>
  <si>
    <t>IMPROVEMENTS:</t>
    <phoneticPr fontId="4" type="noConversion"/>
  </si>
  <si>
    <t>Echo Summit Lodge</t>
    <phoneticPr fontId="4" type="noConversion"/>
  </si>
  <si>
    <t>TOTAL IMPROVEMENTS</t>
    <phoneticPr fontId="4" type="noConversion"/>
  </si>
  <si>
    <t>Improvements</t>
    <phoneticPr fontId="4" type="noConversion"/>
  </si>
  <si>
    <t>Description 1</t>
    <phoneticPr fontId="4" type="noConversion"/>
  </si>
  <si>
    <t>Description 2</t>
  </si>
  <si>
    <t>Description 3</t>
  </si>
  <si>
    <t>Description 4</t>
  </si>
  <si>
    <t>Description 5</t>
  </si>
  <si>
    <t>Description 6</t>
  </si>
  <si>
    <t>Description 7</t>
  </si>
  <si>
    <t>Description 8</t>
  </si>
  <si>
    <t>Description 9</t>
  </si>
  <si>
    <t>Private Events - Outside</t>
  </si>
  <si>
    <t>5183c</t>
  </si>
  <si>
    <t>Associate Member Dues</t>
  </si>
  <si>
    <t>5212b</t>
  </si>
  <si>
    <t>Lodge Deposit Forfeits</t>
  </si>
  <si>
    <t>4080a</t>
  </si>
  <si>
    <t>CAC - Operations - Total</t>
  </si>
  <si>
    <t>Member Entrance Fees</t>
  </si>
  <si>
    <t>AL CD+MM</t>
    <phoneticPr fontId="4" type="noConversion"/>
  </si>
  <si>
    <t>TOTAL CAC CASH</t>
    <phoneticPr fontId="4" type="noConversion"/>
  </si>
  <si>
    <t>Cost of Events - Alpine Lodge</t>
  </si>
  <si>
    <t>Cost of Meals - Echo Lodge</t>
  </si>
  <si>
    <t>8112b</t>
  </si>
  <si>
    <t>CAC Funded Activities</t>
  </si>
  <si>
    <t>Repairs &amp; Maintenance</t>
  </si>
  <si>
    <t>8260c</t>
  </si>
  <si>
    <t>Utilities</t>
  </si>
  <si>
    <t>Supplies</t>
  </si>
  <si>
    <t>Insurance</t>
  </si>
  <si>
    <t>Septic Tank</t>
  </si>
  <si>
    <t>Deck Repair - JL Engineering</t>
  </si>
  <si>
    <t>Deck Repair - Salem Howes</t>
  </si>
  <si>
    <t>Deck Repair - Other</t>
  </si>
  <si>
    <t>TOTAL Improvements</t>
  </si>
  <si>
    <t>Commercial</t>
  </si>
  <si>
    <t>D&amp;O Liability</t>
  </si>
  <si>
    <t>Member Accident</t>
  </si>
  <si>
    <t>Umbrella Liability</t>
  </si>
  <si>
    <t>TOTAL Insurance</t>
  </si>
  <si>
    <t>Internet/Web/Telephone</t>
  </si>
  <si>
    <t>Electricity</t>
  </si>
  <si>
    <t>Propane</t>
  </si>
  <si>
    <t>Heat</t>
  </si>
  <si>
    <t>Other</t>
  </si>
  <si>
    <t>TOTAL Utilities</t>
  </si>
  <si>
    <t>Pantry Food</t>
  </si>
  <si>
    <t>8112a</t>
  </si>
  <si>
    <t>Housekeeping</t>
  </si>
  <si>
    <t>8113b</t>
  </si>
  <si>
    <t xml:space="preserve">8113a </t>
  </si>
  <si>
    <t>First Aid</t>
  </si>
  <si>
    <t>8113c</t>
  </si>
  <si>
    <t>TOTAL Supplies</t>
  </si>
  <si>
    <t>Bank Charges</t>
  </si>
  <si>
    <t>8111a</t>
  </si>
  <si>
    <t>Office Supplies &amp; Postage</t>
  </si>
  <si>
    <t>8111b,c</t>
  </si>
  <si>
    <t>Printing/Copying</t>
  </si>
  <si>
    <t>8111d</t>
  </si>
  <si>
    <t>P.O. Box</t>
  </si>
  <si>
    <t>TOTAL Office Expense</t>
  </si>
  <si>
    <t>Notes:</t>
  </si>
  <si>
    <t>TRANSFERS IN/(OUT)</t>
  </si>
  <si>
    <t>Dues Allocation - Alpine Lodge</t>
  </si>
  <si>
    <t>Dues Allocation - Echo Lodge</t>
  </si>
  <si>
    <t>Usage Fee - CAC to Alpine Lodge</t>
  </si>
  <si>
    <t>Grant Transfer to Alpine Lodge</t>
  </si>
  <si>
    <t>Grant Transfer to Echo Lodge</t>
  </si>
  <si>
    <t>Loan - Alpine to Echo</t>
  </si>
  <si>
    <t>Loan - Echo to Alpine</t>
  </si>
  <si>
    <t>Loan - CAC to Echo</t>
  </si>
  <si>
    <t>Loan - CAC to Alpine</t>
  </si>
  <si>
    <t>Total Transfers</t>
  </si>
  <si>
    <t>EXPENSE DETAIL:</t>
  </si>
  <si>
    <t>Member Assessment</t>
    <phoneticPr fontId="4" type="noConversion"/>
  </si>
  <si>
    <t>Septic System</t>
  </si>
  <si>
    <t>Improvements - Current Year</t>
  </si>
  <si>
    <t>Deck Repair - Ofiaro</t>
  </si>
  <si>
    <t>CAC Wells Fargo Checking</t>
    <phoneticPr fontId="4" type="noConversion"/>
  </si>
  <si>
    <t>CAC Reserve Fund</t>
    <phoneticPr fontId="4" type="noConversion"/>
  </si>
  <si>
    <t>American Century</t>
    <phoneticPr fontId="4" type="noConversion"/>
  </si>
  <si>
    <t>Interest Received</t>
    <phoneticPr fontId="4" type="noConversion"/>
  </si>
  <si>
    <t>OTHER INCOME</t>
    <phoneticPr fontId="4" type="noConversion"/>
  </si>
  <si>
    <t>OTHER EXPENSE</t>
    <phoneticPr fontId="4" type="noConversion"/>
  </si>
  <si>
    <t>TOTAL INCOME (LOSS)</t>
    <phoneticPr fontId="4" type="noConversion"/>
  </si>
  <si>
    <t>Dues Allocation - Echo Lodge</t>
    <phoneticPr fontId="4" type="noConversion"/>
  </si>
  <si>
    <t>Dues Allocation - Alpine Lodge</t>
    <phoneticPr fontId="4" type="noConversion"/>
  </si>
  <si>
    <t>Usage Fee - CAC to Alpine Lodge</t>
    <phoneticPr fontId="4" type="noConversion"/>
  </si>
  <si>
    <t>Cost of Events - Alpine Lodge</t>
    <phoneticPr fontId="4" type="noConversion"/>
  </si>
  <si>
    <t>Loan - Alpine to Echo</t>
    <phoneticPr fontId="4" type="noConversion"/>
  </si>
  <si>
    <t>Member Accident</t>
    <phoneticPr fontId="4" type="noConversion"/>
  </si>
  <si>
    <t>Umbrella Liability</t>
    <phoneticPr fontId="4" type="noConversion"/>
  </si>
  <si>
    <t>Insurance</t>
    <phoneticPr fontId="4" type="noConversion"/>
  </si>
  <si>
    <t>TOTAL ASSETS</t>
  </si>
  <si>
    <t>LIABILITIES</t>
  </si>
  <si>
    <t>Due to CAC Foundation</t>
  </si>
  <si>
    <t>Motel Tax Payable</t>
  </si>
  <si>
    <t>Accommodation Deposits</t>
  </si>
  <si>
    <t>Loan Payable - Alpine Lodge</t>
  </si>
  <si>
    <t>Loan Payable - Echo Lodge</t>
  </si>
  <si>
    <t>TOTAL LIABILITIES</t>
  </si>
  <si>
    <t>EQUITY</t>
  </si>
  <si>
    <t>3112-3123</t>
  </si>
  <si>
    <t>Reserved - Other</t>
  </si>
  <si>
    <t>Unrestricted Equity</t>
  </si>
  <si>
    <t>TOTAL EQUITY</t>
  </si>
  <si>
    <t>TOTAL LIABILITIES &amp; EQUITY</t>
  </si>
  <si>
    <t>INCOME from Operations</t>
  </si>
  <si>
    <t>Alpine Lodge - Operations - Total</t>
  </si>
  <si>
    <t>Events at Alpine - Gross</t>
  </si>
  <si>
    <t>Donations</t>
  </si>
  <si>
    <t>4080b</t>
  </si>
  <si>
    <t>Larry Rent</t>
  </si>
  <si>
    <t>Accommodations Outside</t>
  </si>
  <si>
    <t>Accommodations Members</t>
  </si>
  <si>
    <t>Miscellaneous Income</t>
  </si>
  <si>
    <t>Echo Lodge - Operations - Total</t>
  </si>
  <si>
    <t>Lodging Revenue</t>
  </si>
  <si>
    <t>Meals Revenue</t>
  </si>
  <si>
    <t>Private Events - Members</t>
  </si>
  <si>
    <t>5183a</t>
  </si>
  <si>
    <t>General Membership Dues</t>
  </si>
  <si>
    <t>Member Assessment</t>
  </si>
  <si>
    <t>TOTAL INCOME from Operations</t>
  </si>
  <si>
    <t>OPERATING EXPENSES:</t>
  </si>
  <si>
    <t>Entries are required for Improvements detail but optional for Expense detail; if no Expense detail is desired, simply enter the total in a single account for that Expense.</t>
  </si>
  <si>
    <t>Budget data is required only for Totals items and optional for individual line items.</t>
  </si>
  <si>
    <t>Check:  Assets = Liab + Equity (should be zero)</t>
  </si>
  <si>
    <t>Improvement Reserves:</t>
  </si>
  <si>
    <t>Lodge Main Building</t>
  </si>
  <si>
    <t>Other Buildings</t>
  </si>
  <si>
    <t>Water System</t>
  </si>
  <si>
    <t>Water Heaters</t>
  </si>
  <si>
    <t>Wood Stoves</t>
  </si>
  <si>
    <t>Kitchen Equipment</t>
  </si>
  <si>
    <t>Furniture &amp; Fixtures</t>
  </si>
  <si>
    <t>Power Generator</t>
  </si>
  <si>
    <t>Housewares/Linen</t>
  </si>
  <si>
    <t>Durable Equipment</t>
  </si>
  <si>
    <t>Deck Repair_Seely Construct</t>
    <phoneticPr fontId="4" type="noConversion"/>
  </si>
  <si>
    <t>Enter in detail</t>
    <phoneticPr fontId="4" type="noConversion"/>
  </si>
  <si>
    <t>Tam Bldg Apt Rental</t>
  </si>
  <si>
    <t>Centennial</t>
  </si>
  <si>
    <t>Associate Member Fees</t>
  </si>
  <si>
    <t>Reserves for Maintenance and Repairs</t>
  </si>
  <si>
    <t>Wood</t>
  </si>
  <si>
    <t>ADA Bath</t>
  </si>
  <si>
    <t>Lodge main bldg</t>
  </si>
  <si>
    <t>Shed Portico</t>
  </si>
  <si>
    <t>Kitchen modernization</t>
  </si>
  <si>
    <t>Well Pump</t>
  </si>
  <si>
    <t>Septic</t>
  </si>
  <si>
    <t xml:space="preserve">Hardwood insurance reimbursement </t>
  </si>
  <si>
    <t>BEGINNING CASH BALANCE</t>
  </si>
  <si>
    <t>FYE 3/31/16</t>
  </si>
  <si>
    <t>Bathroom renovation</t>
  </si>
  <si>
    <t>Hill Reinforcement</t>
  </si>
  <si>
    <t>Replace Fans</t>
  </si>
  <si>
    <t>Firesprinkler System</t>
  </si>
  <si>
    <t>Covert Rental</t>
  </si>
  <si>
    <t>Update Kitchen Lighting</t>
  </si>
  <si>
    <t>ADA Improvements</t>
  </si>
  <si>
    <t>Replace LR Carpet</t>
  </si>
  <si>
    <t>Replace Wolf Stove</t>
  </si>
  <si>
    <t>Replace 2nd floor beds</t>
  </si>
  <si>
    <t xml:space="preserve">Misc </t>
  </si>
  <si>
    <t>FYE 3/31/17</t>
  </si>
  <si>
    <t>Budget</t>
    <phoneticPr fontId="4" type="noConversion"/>
  </si>
  <si>
    <t>Budget</t>
    <phoneticPr fontId="4" type="noConversion"/>
  </si>
  <si>
    <t>Budget</t>
    <phoneticPr fontId="5" type="noConversion"/>
  </si>
  <si>
    <t>Quarter</t>
  </si>
  <si>
    <t>YTD</t>
    <phoneticPr fontId="4" type="noConversion"/>
  </si>
  <si>
    <t>Qtr Ended</t>
    <phoneticPr fontId="4" type="noConversion"/>
  </si>
  <si>
    <t>YTD</t>
    <phoneticPr fontId="4" type="noConversion"/>
  </si>
  <si>
    <t>Qtr Ended</t>
    <phoneticPr fontId="4" type="noConversion"/>
  </si>
  <si>
    <t>CACF Expenses</t>
  </si>
  <si>
    <t>YTD</t>
    <phoneticPr fontId="4" type="noConversion"/>
  </si>
  <si>
    <t>Qtr Ended</t>
    <phoneticPr fontId="4" type="noConversion"/>
  </si>
  <si>
    <t>YTD</t>
    <phoneticPr fontId="4" type="noConversion"/>
  </si>
  <si>
    <t>Qtr Ended</t>
    <phoneticPr fontId="4" type="noConversion"/>
  </si>
  <si>
    <t>cac</t>
  </si>
  <si>
    <t>Qtr Ended</t>
    <phoneticPr fontId="4" type="noConversion"/>
  </si>
  <si>
    <t>YTD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</si>
</sst>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10"/>
      <color indexed="10"/>
      <name val="Verdana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color indexed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2" borderId="1" applyNumberFormat="0" applyAlignment="0" applyProtection="0"/>
    <xf numFmtId="0" fontId="14" fillId="13" borderId="2" applyNumberFormat="0" applyAlignment="0" applyProtection="0"/>
    <xf numFmtId="0" fontId="15" fillId="0" borderId="0" applyNumberFormat="0" applyFill="0" applyBorder="0" applyAlignment="0" applyProtection="0"/>
    <xf numFmtId="0" fontId="16" fillId="1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1" applyNumberFormat="0" applyAlignment="0" applyProtection="0"/>
    <xf numFmtId="0" fontId="21" fillId="0" borderId="6" applyNumberFormat="0" applyFill="0" applyAlignment="0" applyProtection="0"/>
    <xf numFmtId="0" fontId="22" fillId="15" borderId="0" applyNumberFormat="0" applyBorder="0" applyAlignment="0" applyProtection="0"/>
    <xf numFmtId="0" fontId="3" fillId="0" borderId="0"/>
    <xf numFmtId="0" fontId="3" fillId="16" borderId="7" applyNumberFormat="0" applyFont="0" applyAlignment="0" applyProtection="0"/>
    <xf numFmtId="0" fontId="23" fillId="2" borderId="8" applyNumberFormat="0" applyAlignment="0" applyProtection="0"/>
    <xf numFmtId="9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1" fillId="0" borderId="0"/>
    <xf numFmtId="43" fontId="28" fillId="0" borderId="0" applyFont="0" applyFill="0" applyBorder="0" applyAlignment="0" applyProtection="0"/>
  </cellStyleXfs>
  <cellXfs count="298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10" xfId="0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14" fontId="2" fillId="0" borderId="13" xfId="0" applyNumberFormat="1" applyFont="1" applyBorder="1"/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0" fillId="0" borderId="14" xfId="0" applyBorder="1"/>
    <xf numFmtId="0" fontId="0" fillId="0" borderId="13" xfId="0" applyBorder="1"/>
    <xf numFmtId="0" fontId="6" fillId="0" borderId="0" xfId="0" applyFont="1"/>
    <xf numFmtId="3" fontId="0" fillId="0" borderId="0" xfId="0" applyNumberFormat="1"/>
    <xf numFmtId="3" fontId="0" fillId="0" borderId="0" xfId="0" applyNumberFormat="1" applyFill="1"/>
    <xf numFmtId="14" fontId="3" fillId="0" borderId="0" xfId="0" applyNumberFormat="1" applyFont="1" applyBorder="1"/>
    <xf numFmtId="0" fontId="2" fillId="18" borderId="20" xfId="0" applyFont="1" applyFill="1" applyBorder="1"/>
    <xf numFmtId="37" fontId="0" fillId="0" borderId="0" xfId="0" applyNumberFormat="1"/>
    <xf numFmtId="0" fontId="0" fillId="0" borderId="15" xfId="0" applyBorder="1"/>
    <xf numFmtId="0" fontId="0" fillId="17" borderId="34" xfId="0" applyFill="1" applyBorder="1"/>
    <xf numFmtId="37" fontId="0" fillId="17" borderId="48" xfId="0" applyNumberFormat="1" applyFill="1" applyBorder="1"/>
    <xf numFmtId="37" fontId="0" fillId="0" borderId="16" xfId="0" applyNumberFormat="1" applyBorder="1"/>
    <xf numFmtId="0" fontId="2" fillId="20" borderId="14" xfId="0" applyFont="1" applyFill="1" applyBorder="1" applyAlignment="1">
      <alignment horizontal="right"/>
    </xf>
    <xf numFmtId="0" fontId="2" fillId="20" borderId="15" xfId="0" applyFont="1" applyFill="1" applyBorder="1" applyAlignment="1">
      <alignment horizontal="right"/>
    </xf>
    <xf numFmtId="0" fontId="2" fillId="21" borderId="11" xfId="0" applyFont="1" applyFill="1" applyBorder="1" applyAlignment="1">
      <alignment horizontal="left" indent="2"/>
    </xf>
    <xf numFmtId="0" fontId="2" fillId="20" borderId="24" xfId="0" applyFont="1" applyFill="1" applyBorder="1" applyAlignment="1">
      <alignment horizontal="right"/>
    </xf>
    <xf numFmtId="0" fontId="2" fillId="22" borderId="16" xfId="0" applyFont="1" applyFill="1" applyBorder="1" applyAlignment="1">
      <alignment horizontal="left" indent="2"/>
    </xf>
    <xf numFmtId="0" fontId="2" fillId="22" borderId="24" xfId="0" applyFont="1" applyFill="1" applyBorder="1" applyAlignment="1">
      <alignment horizontal="right"/>
    </xf>
    <xf numFmtId="0" fontId="2" fillId="20" borderId="16" xfId="0" applyFont="1" applyFill="1" applyBorder="1" applyAlignment="1">
      <alignment horizontal="center"/>
    </xf>
    <xf numFmtId="0" fontId="2" fillId="18" borderId="24" xfId="0" applyFont="1" applyFill="1" applyBorder="1" applyAlignment="1">
      <alignment horizontal="right"/>
    </xf>
    <xf numFmtId="37" fontId="0" fillId="0" borderId="50" xfId="0" applyNumberFormat="1" applyBorder="1"/>
    <xf numFmtId="37" fontId="0" fillId="17" borderId="51" xfId="0" applyNumberFormat="1" applyFill="1" applyBorder="1"/>
    <xf numFmtId="0" fontId="3" fillId="0" borderId="0" xfId="37"/>
    <xf numFmtId="0" fontId="2" fillId="0" borderId="11" xfId="37" applyFont="1" applyBorder="1" applyAlignment="1">
      <alignment horizontal="center"/>
    </xf>
    <xf numFmtId="0" fontId="2" fillId="0" borderId="12" xfId="37" applyFont="1" applyBorder="1" applyAlignment="1">
      <alignment horizontal="center"/>
    </xf>
    <xf numFmtId="3" fontId="3" fillId="0" borderId="19" xfId="37" applyNumberFormat="1" applyBorder="1"/>
    <xf numFmtId="3" fontId="3" fillId="0" borderId="0" xfId="37" applyNumberFormat="1"/>
    <xf numFmtId="3" fontId="2" fillId="19" borderId="19" xfId="37" applyNumberFormat="1" applyFont="1" applyFill="1" applyBorder="1"/>
    <xf numFmtId="3" fontId="2" fillId="19" borderId="0" xfId="37" applyNumberFormat="1" applyFont="1" applyFill="1"/>
    <xf numFmtId="3" fontId="3" fillId="0" borderId="19" xfId="37" applyNumberFormat="1" applyFill="1" applyBorder="1"/>
    <xf numFmtId="3" fontId="3" fillId="0" borderId="0" xfId="37" applyNumberFormat="1" applyFill="1"/>
    <xf numFmtId="3" fontId="2" fillId="19" borderId="32" xfId="37" applyNumberFormat="1" applyFont="1" applyFill="1" applyBorder="1"/>
    <xf numFmtId="3" fontId="2" fillId="19" borderId="33" xfId="37" applyNumberFormat="1" applyFont="1" applyFill="1" applyBorder="1"/>
    <xf numFmtId="3" fontId="2" fillId="19" borderId="37" xfId="37" applyNumberFormat="1" applyFont="1" applyFill="1" applyBorder="1"/>
    <xf numFmtId="0" fontId="3" fillId="0" borderId="0" xfId="37" applyFill="1"/>
    <xf numFmtId="0" fontId="3" fillId="0" borderId="16" xfId="37" applyBorder="1"/>
    <xf numFmtId="0" fontId="3" fillId="0" borderId="21" xfId="37" applyBorder="1"/>
    <xf numFmtId="0" fontId="3" fillId="0" borderId="19" xfId="37" applyFill="1" applyBorder="1"/>
    <xf numFmtId="0" fontId="3" fillId="0" borderId="17" xfId="37" applyFill="1" applyBorder="1"/>
    <xf numFmtId="3" fontId="3" fillId="0" borderId="17" xfId="37" applyNumberFormat="1" applyBorder="1"/>
    <xf numFmtId="3" fontId="3" fillId="17" borderId="0" xfId="37" applyNumberFormat="1" applyFill="1"/>
    <xf numFmtId="3" fontId="3" fillId="17" borderId="18" xfId="37" applyNumberFormat="1" applyFill="1" applyBorder="1"/>
    <xf numFmtId="3" fontId="3" fillId="17" borderId="19" xfId="37" applyNumberFormat="1" applyFill="1" applyBorder="1"/>
    <xf numFmtId="3" fontId="3" fillId="17" borderId="17" xfId="37" applyNumberFormat="1" applyFill="1" applyBorder="1"/>
    <xf numFmtId="3" fontId="2" fillId="19" borderId="17" xfId="37" applyNumberFormat="1" applyFont="1" applyFill="1" applyBorder="1"/>
    <xf numFmtId="3" fontId="3" fillId="0" borderId="17" xfId="37" applyNumberFormat="1" applyFill="1" applyBorder="1"/>
    <xf numFmtId="3" fontId="2" fillId="19" borderId="48" xfId="37" applyNumberFormat="1" applyFont="1" applyFill="1" applyBorder="1"/>
    <xf numFmtId="0" fontId="3" fillId="22" borderId="0" xfId="37" applyFill="1"/>
    <xf numFmtId="0" fontId="26" fillId="0" borderId="0" xfId="0" applyFont="1"/>
    <xf numFmtId="0" fontId="2" fillId="22" borderId="16" xfId="37" applyFont="1" applyFill="1" applyBorder="1" applyAlignment="1">
      <alignment horizontal="center"/>
    </xf>
    <xf numFmtId="14" fontId="2" fillId="22" borderId="24" xfId="0" applyNumberFormat="1" applyFont="1" applyFill="1" applyBorder="1" applyAlignment="1">
      <alignment horizontal="center"/>
    </xf>
    <xf numFmtId="0" fontId="2" fillId="22" borderId="16" xfId="0" applyFont="1" applyFill="1" applyBorder="1" applyAlignment="1">
      <alignment horizontal="center"/>
    </xf>
    <xf numFmtId="0" fontId="2" fillId="23" borderId="21" xfId="0" applyFont="1" applyFill="1" applyBorder="1" applyAlignment="1">
      <alignment horizontal="center"/>
    </xf>
    <xf numFmtId="0" fontId="2" fillId="20" borderId="42" xfId="0" applyFont="1" applyFill="1" applyBorder="1" applyAlignment="1">
      <alignment horizontal="center"/>
    </xf>
    <xf numFmtId="0" fontId="2" fillId="23" borderId="52" xfId="0" applyFont="1" applyFill="1" applyBorder="1" applyAlignment="1">
      <alignment horizontal="center"/>
    </xf>
    <xf numFmtId="0" fontId="2" fillId="20" borderId="53" xfId="37" applyFont="1" applyFill="1" applyBorder="1" applyAlignment="1">
      <alignment horizontal="center"/>
    </xf>
    <xf numFmtId="0" fontId="2" fillId="23" borderId="21" xfId="37" applyFont="1" applyFill="1" applyBorder="1" applyAlignment="1">
      <alignment horizontal="center"/>
    </xf>
    <xf numFmtId="14" fontId="2" fillId="0" borderId="38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" fillId="18" borderId="16" xfId="0" applyFont="1" applyFill="1" applyBorder="1" applyAlignment="1">
      <alignment horizontal="center"/>
    </xf>
    <xf numFmtId="0" fontId="2" fillId="20" borderId="12" xfId="0" applyFont="1" applyFill="1" applyBorder="1" applyAlignment="1">
      <alignment horizontal="center"/>
    </xf>
    <xf numFmtId="0" fontId="2" fillId="20" borderId="13" xfId="0" applyFont="1" applyFill="1" applyBorder="1" applyAlignment="1">
      <alignment horizontal="center"/>
    </xf>
    <xf numFmtId="0" fontId="2" fillId="21" borderId="38" xfId="0" applyFont="1" applyFill="1" applyBorder="1" applyAlignment="1">
      <alignment horizontal="center"/>
    </xf>
    <xf numFmtId="0" fontId="3" fillId="0" borderId="19" xfId="37" applyBorder="1"/>
    <xf numFmtId="3" fontId="3" fillId="17" borderId="54" xfId="37" applyNumberFormat="1" applyFill="1" applyBorder="1"/>
    <xf numFmtId="0" fontId="0" fillId="0" borderId="23" xfId="0" applyBorder="1" applyAlignment="1">
      <alignment horizontal="left"/>
    </xf>
    <xf numFmtId="0" fontId="2" fillId="0" borderId="22" xfId="0" applyFont="1" applyBorder="1"/>
    <xf numFmtId="0" fontId="2" fillId="0" borderId="25" xfId="0" applyFont="1" applyBorder="1"/>
    <xf numFmtId="0" fontId="0" fillId="0" borderId="22" xfId="0" applyBorder="1" applyAlignment="1">
      <alignment horizontal="left"/>
    </xf>
    <xf numFmtId="0" fontId="0" fillId="0" borderId="55" xfId="0" applyBorder="1" applyAlignment="1">
      <alignment horizontal="left"/>
    </xf>
    <xf numFmtId="3" fontId="0" fillId="0" borderId="0" xfId="0" applyNumberFormat="1" applyProtection="1">
      <protection locked="0"/>
    </xf>
    <xf numFmtId="3" fontId="2" fillId="17" borderId="0" xfId="0" applyNumberFormat="1" applyFont="1" applyFill="1" applyProtection="1">
      <protection locked="0"/>
    </xf>
    <xf numFmtId="3" fontId="3" fillId="0" borderId="0" xfId="0" applyNumberFormat="1" applyFont="1" applyProtection="1">
      <protection locked="0"/>
    </xf>
    <xf numFmtId="3" fontId="2" fillId="19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3" fontId="2" fillId="19" borderId="27" xfId="0" applyNumberFormat="1" applyFont="1" applyFill="1" applyBorder="1" applyProtection="1">
      <protection locked="0"/>
    </xf>
    <xf numFmtId="3" fontId="2" fillId="19" borderId="30" xfId="0" applyNumberFormat="1" applyFont="1" applyFill="1" applyBorder="1" applyProtection="1">
      <protection locked="0"/>
    </xf>
    <xf numFmtId="3" fontId="2" fillId="19" borderId="33" xfId="0" applyNumberFormat="1" applyFont="1" applyFill="1" applyBorder="1" applyProtection="1">
      <protection locked="0"/>
    </xf>
    <xf numFmtId="3" fontId="2" fillId="17" borderId="13" xfId="0" applyNumberFormat="1" applyFont="1" applyFill="1" applyBorder="1" applyProtection="1">
      <protection locked="0"/>
    </xf>
    <xf numFmtId="0" fontId="3" fillId="0" borderId="11" xfId="37" applyBorder="1" applyProtection="1">
      <protection locked="0"/>
    </xf>
    <xf numFmtId="0" fontId="3" fillId="0" borderId="0" xfId="37" applyProtection="1">
      <protection locked="0"/>
    </xf>
    <xf numFmtId="0" fontId="3" fillId="0" borderId="18" xfId="37" applyFill="1" applyBorder="1" applyProtection="1">
      <protection locked="0"/>
    </xf>
    <xf numFmtId="0" fontId="3" fillId="0" borderId="0" xfId="37" applyFill="1" applyProtection="1">
      <protection locked="0"/>
    </xf>
    <xf numFmtId="3" fontId="3" fillId="0" borderId="18" xfId="37" applyNumberFormat="1" applyBorder="1" applyProtection="1">
      <protection locked="0"/>
    </xf>
    <xf numFmtId="3" fontId="3" fillId="0" borderId="0" xfId="37" applyNumberFormat="1" applyProtection="1">
      <protection locked="0"/>
    </xf>
    <xf numFmtId="3" fontId="3" fillId="17" borderId="18" xfId="37" applyNumberFormat="1" applyFill="1" applyBorder="1" applyProtection="1">
      <protection locked="0"/>
    </xf>
    <xf numFmtId="3" fontId="3" fillId="17" borderId="0" xfId="37" applyNumberFormat="1" applyFill="1" applyProtection="1">
      <protection locked="0"/>
    </xf>
    <xf numFmtId="3" fontId="3" fillId="0" borderId="18" xfId="37" applyNumberFormat="1" applyFill="1" applyBorder="1" applyProtection="1">
      <protection locked="0"/>
    </xf>
    <xf numFmtId="3" fontId="3" fillId="0" borderId="0" xfId="37" applyNumberFormat="1" applyFill="1" applyProtection="1">
      <protection locked="0"/>
    </xf>
    <xf numFmtId="3" fontId="2" fillId="19" borderId="18" xfId="37" applyNumberFormat="1" applyFont="1" applyFill="1" applyBorder="1" applyProtection="1">
      <protection locked="0"/>
    </xf>
    <xf numFmtId="3" fontId="2" fillId="19" borderId="0" xfId="37" applyNumberFormat="1" applyFont="1" applyFill="1" applyProtection="1">
      <protection locked="0"/>
    </xf>
    <xf numFmtId="3" fontId="2" fillId="19" borderId="37" xfId="37" applyNumberFormat="1" applyFont="1" applyFill="1" applyBorder="1" applyProtection="1">
      <protection locked="0"/>
    </xf>
    <xf numFmtId="3" fontId="2" fillId="19" borderId="33" xfId="37" applyNumberFormat="1" applyFont="1" applyFill="1" applyBorder="1" applyProtection="1">
      <protection locked="0"/>
    </xf>
    <xf numFmtId="0" fontId="3" fillId="22" borderId="0" xfId="37" applyFill="1" applyProtection="1">
      <protection locked="0"/>
    </xf>
    <xf numFmtId="1" fontId="3" fillId="22" borderId="0" xfId="37" applyNumberFormat="1" applyFill="1" applyProtection="1">
      <protection locked="0"/>
    </xf>
    <xf numFmtId="0" fontId="0" fillId="0" borderId="13" xfId="0" applyBorder="1" applyProtection="1">
      <protection locked="0"/>
    </xf>
    <xf numFmtId="37" fontId="0" fillId="0" borderId="18" xfId="0" applyNumberFormat="1" applyBorder="1" applyProtection="1">
      <protection locked="0"/>
    </xf>
    <xf numFmtId="37" fontId="0" fillId="0" borderId="0" xfId="0" applyNumberFormat="1" applyProtection="1">
      <protection locked="0"/>
    </xf>
    <xf numFmtId="37" fontId="0" fillId="0" borderId="50" xfId="0" applyNumberFormat="1" applyBorder="1" applyProtection="1">
      <protection locked="0"/>
    </xf>
    <xf numFmtId="37" fontId="0" fillId="17" borderId="37" xfId="0" applyNumberFormat="1" applyFill="1" applyBorder="1" applyProtection="1">
      <protection locked="0"/>
    </xf>
    <xf numFmtId="37" fontId="0" fillId="17" borderId="33" xfId="0" applyNumberFormat="1" applyFill="1" applyBorder="1" applyProtection="1">
      <protection locked="0"/>
    </xf>
    <xf numFmtId="37" fontId="0" fillId="17" borderId="51" xfId="0" applyNumberFormat="1" applyFill="1" applyBorder="1" applyProtection="1">
      <protection locked="0"/>
    </xf>
    <xf numFmtId="0" fontId="5" fillId="0" borderId="0" xfId="0" applyFont="1" applyProtection="1"/>
    <xf numFmtId="0" fontId="0" fillId="0" borderId="0" xfId="0" applyProtection="1"/>
    <xf numFmtId="0" fontId="6" fillId="0" borderId="0" xfId="0" applyFont="1" applyProtection="1"/>
    <xf numFmtId="0" fontId="2" fillId="0" borderId="0" xfId="0" applyFont="1" applyProtection="1"/>
    <xf numFmtId="0" fontId="2" fillId="18" borderId="20" xfId="0" applyFont="1" applyFill="1" applyBorder="1" applyProtection="1"/>
    <xf numFmtId="0" fontId="0" fillId="0" borderId="16" xfId="0" applyBorder="1" applyProtection="1"/>
    <xf numFmtId="0" fontId="0" fillId="0" borderId="17" xfId="0" applyBorder="1" applyProtection="1"/>
    <xf numFmtId="37" fontId="2" fillId="19" borderId="19" xfId="0" applyNumberFormat="1" applyFont="1" applyFill="1" applyBorder="1" applyProtection="1"/>
    <xf numFmtId="37" fontId="2" fillId="19" borderId="0" xfId="0" applyNumberFormat="1" applyFont="1" applyFill="1" applyProtection="1"/>
    <xf numFmtId="37" fontId="2" fillId="19" borderId="17" xfId="0" applyNumberFormat="1" applyFont="1" applyFill="1" applyBorder="1" applyProtection="1"/>
    <xf numFmtId="37" fontId="0" fillId="0" borderId="19" xfId="0" applyNumberFormat="1" applyFill="1" applyBorder="1" applyProtection="1"/>
    <xf numFmtId="37" fontId="0" fillId="0" borderId="0" xfId="0" applyNumberFormat="1" applyFill="1" applyProtection="1"/>
    <xf numFmtId="37" fontId="0" fillId="0" borderId="17" xfId="0" applyNumberFormat="1" applyFill="1" applyBorder="1" applyProtection="1"/>
    <xf numFmtId="37" fontId="0" fillId="17" borderId="19" xfId="0" applyNumberFormat="1" applyFill="1" applyBorder="1" applyProtection="1"/>
    <xf numFmtId="37" fontId="0" fillId="17" borderId="0" xfId="0" applyNumberFormat="1" applyFill="1" applyProtection="1"/>
    <xf numFmtId="37" fontId="0" fillId="17" borderId="17" xfId="0" applyNumberFormat="1" applyFill="1" applyBorder="1" applyProtection="1"/>
    <xf numFmtId="37" fontId="0" fillId="0" borderId="19" xfId="0" applyNumberFormat="1" applyBorder="1" applyProtection="1"/>
    <xf numFmtId="37" fontId="0" fillId="0" borderId="0" xfId="0" applyNumberFormat="1" applyProtection="1"/>
    <xf numFmtId="37" fontId="0" fillId="0" borderId="17" xfId="0" applyNumberFormat="1" applyBorder="1" applyProtection="1"/>
    <xf numFmtId="37" fontId="0" fillId="0" borderId="24" xfId="0" applyNumberFormat="1" applyFill="1" applyBorder="1" applyProtection="1"/>
    <xf numFmtId="37" fontId="2" fillId="19" borderId="32" xfId="0" applyNumberFormat="1" applyFont="1" applyFill="1" applyBorder="1" applyProtection="1"/>
    <xf numFmtId="37" fontId="2" fillId="19" borderId="33" xfId="0" applyNumberFormat="1" applyFont="1" applyFill="1" applyBorder="1" applyProtection="1"/>
    <xf numFmtId="37" fontId="2" fillId="19" borderId="48" xfId="0" applyNumberFormat="1" applyFont="1" applyFill="1" applyBorder="1" applyProtection="1"/>
    <xf numFmtId="37" fontId="2" fillId="20" borderId="33" xfId="0" applyNumberFormat="1" applyFont="1" applyFill="1" applyBorder="1" applyProtection="1"/>
    <xf numFmtId="0" fontId="7" fillId="0" borderId="0" xfId="0" applyFont="1" applyProtection="1"/>
    <xf numFmtId="0" fontId="2" fillId="20" borderId="56" xfId="0" applyFont="1" applyFill="1" applyBorder="1" applyAlignment="1" applyProtection="1">
      <alignment horizontal="right"/>
    </xf>
    <xf numFmtId="0" fontId="2" fillId="23" borderId="53" xfId="0" applyFont="1" applyFill="1" applyBorder="1" applyAlignment="1" applyProtection="1">
      <alignment horizontal="right"/>
    </xf>
    <xf numFmtId="0" fontId="2" fillId="23" borderId="21" xfId="0" applyFont="1" applyFill="1" applyBorder="1" applyAlignment="1" applyProtection="1">
      <alignment horizontal="right"/>
    </xf>
    <xf numFmtId="0" fontId="2" fillId="20" borderId="57" xfId="0" applyFont="1" applyFill="1" applyBorder="1" applyAlignment="1" applyProtection="1">
      <alignment horizontal="right"/>
    </xf>
    <xf numFmtId="0" fontId="2" fillId="23" borderId="42" xfId="0" applyFont="1" applyFill="1" applyBorder="1" applyAlignment="1" applyProtection="1">
      <alignment horizontal="right"/>
    </xf>
    <xf numFmtId="0" fontId="2" fillId="23" borderId="52" xfId="0" applyFont="1" applyFill="1" applyBorder="1" applyAlignment="1" applyProtection="1">
      <alignment horizontal="right"/>
    </xf>
    <xf numFmtId="0" fontId="0" fillId="0" borderId="22" xfId="0" applyBorder="1" applyProtection="1"/>
    <xf numFmtId="3" fontId="0" fillId="0" borderId="16" xfId="0" applyNumberFormat="1" applyBorder="1" applyProtection="1"/>
    <xf numFmtId="3" fontId="0" fillId="0" borderId="0" xfId="0" applyNumberFormat="1" applyProtection="1"/>
    <xf numFmtId="3" fontId="0" fillId="0" borderId="22" xfId="0" applyNumberFormat="1" applyBorder="1" applyProtection="1"/>
    <xf numFmtId="3" fontId="0" fillId="0" borderId="18" xfId="0" applyNumberFormat="1" applyBorder="1" applyProtection="1"/>
    <xf numFmtId="3" fontId="0" fillId="0" borderId="43" xfId="0" applyNumberFormat="1" applyBorder="1" applyProtection="1"/>
    <xf numFmtId="3" fontId="0" fillId="0" borderId="10" xfId="0" applyNumberFormat="1" applyBorder="1" applyProtection="1"/>
    <xf numFmtId="3" fontId="0" fillId="0" borderId="58" xfId="0" applyNumberFormat="1" applyBorder="1" applyProtection="1"/>
    <xf numFmtId="3" fontId="0" fillId="0" borderId="39" xfId="0" applyNumberFormat="1" applyBorder="1" applyProtection="1"/>
    <xf numFmtId="0" fontId="0" fillId="0" borderId="50" xfId="0" applyBorder="1" applyProtection="1"/>
    <xf numFmtId="0" fontId="0" fillId="0" borderId="23" xfId="0" applyBorder="1" applyAlignment="1" applyProtection="1">
      <alignment horizontal="left"/>
    </xf>
    <xf numFmtId="3" fontId="2" fillId="17" borderId="19" xfId="0" applyNumberFormat="1" applyFont="1" applyFill="1" applyBorder="1" applyProtection="1"/>
    <xf numFmtId="3" fontId="2" fillId="17" borderId="0" xfId="0" applyNumberFormat="1" applyFont="1" applyFill="1" applyProtection="1"/>
    <xf numFmtId="3" fontId="2" fillId="17" borderId="23" xfId="0" applyNumberFormat="1" applyFont="1" applyFill="1" applyBorder="1" applyProtection="1"/>
    <xf numFmtId="3" fontId="2" fillId="17" borderId="18" xfId="0" applyNumberFormat="1" applyFont="1" applyFill="1" applyBorder="1" applyProtection="1"/>
    <xf numFmtId="3" fontId="2" fillId="17" borderId="43" xfId="0" applyNumberFormat="1" applyFont="1" applyFill="1" applyBorder="1" applyProtection="1"/>
    <xf numFmtId="3" fontId="2" fillId="17" borderId="10" xfId="0" applyNumberFormat="1" applyFont="1" applyFill="1" applyBorder="1" applyProtection="1"/>
    <xf numFmtId="9" fontId="2" fillId="17" borderId="58" xfId="40" applyFont="1" applyFill="1" applyBorder="1" applyProtection="1"/>
    <xf numFmtId="3" fontId="2" fillId="17" borderId="39" xfId="0" applyNumberFormat="1" applyFont="1" applyFill="1" applyBorder="1" applyProtection="1"/>
    <xf numFmtId="9" fontId="2" fillId="17" borderId="17" xfId="40" applyFont="1" applyFill="1" applyBorder="1" applyProtection="1"/>
    <xf numFmtId="3" fontId="0" fillId="0" borderId="19" xfId="0" applyNumberFormat="1" applyBorder="1" applyProtection="1"/>
    <xf numFmtId="3" fontId="0" fillId="0" borderId="23" xfId="0" applyNumberFormat="1" applyBorder="1" applyProtection="1"/>
    <xf numFmtId="9" fontId="0" fillId="0" borderId="58" xfId="40" applyFont="1" applyBorder="1" applyProtection="1"/>
    <xf numFmtId="9" fontId="0" fillId="0" borderId="50" xfId="40" applyFont="1" applyBorder="1" applyProtection="1"/>
    <xf numFmtId="9" fontId="0" fillId="0" borderId="50" xfId="0" applyNumberFormat="1" applyBorder="1" applyProtection="1"/>
    <xf numFmtId="9" fontId="2" fillId="17" borderId="58" xfId="0" applyNumberFormat="1" applyFont="1" applyFill="1" applyBorder="1" applyProtection="1"/>
    <xf numFmtId="9" fontId="2" fillId="17" borderId="50" xfId="0" applyNumberFormat="1" applyFont="1" applyFill="1" applyBorder="1" applyProtection="1"/>
    <xf numFmtId="9" fontId="0" fillId="0" borderId="58" xfId="0" applyNumberFormat="1" applyBorder="1" applyProtection="1"/>
    <xf numFmtId="3" fontId="0" fillId="0" borderId="43" xfId="0" applyNumberFormat="1" applyFill="1" applyBorder="1" applyProtection="1"/>
    <xf numFmtId="3" fontId="2" fillId="19" borderId="19" xfId="0" applyNumberFormat="1" applyFont="1" applyFill="1" applyBorder="1" applyProtection="1"/>
    <xf numFmtId="3" fontId="2" fillId="19" borderId="0" xfId="0" applyNumberFormat="1" applyFont="1" applyFill="1" applyProtection="1"/>
    <xf numFmtId="3" fontId="2" fillId="19" borderId="23" xfId="0" applyNumberFormat="1" applyFont="1" applyFill="1" applyBorder="1" applyProtection="1"/>
    <xf numFmtId="3" fontId="2" fillId="19" borderId="18" xfId="0" applyNumberFormat="1" applyFont="1" applyFill="1" applyBorder="1" applyProtection="1"/>
    <xf numFmtId="3" fontId="2" fillId="19" borderId="43" xfId="0" applyNumberFormat="1" applyFont="1" applyFill="1" applyBorder="1" applyProtection="1"/>
    <xf numFmtId="3" fontId="2" fillId="19" borderId="10" xfId="0" applyNumberFormat="1" applyFont="1" applyFill="1" applyBorder="1" applyProtection="1"/>
    <xf numFmtId="9" fontId="2" fillId="19" borderId="58" xfId="0" applyNumberFormat="1" applyFont="1" applyFill="1" applyBorder="1" applyProtection="1"/>
    <xf numFmtId="3" fontId="2" fillId="19" borderId="39" xfId="0" applyNumberFormat="1" applyFont="1" applyFill="1" applyBorder="1" applyProtection="1"/>
    <xf numFmtId="9" fontId="2" fillId="19" borderId="17" xfId="0" applyNumberFormat="1" applyFont="1" applyFill="1" applyBorder="1" applyProtection="1"/>
    <xf numFmtId="0" fontId="9" fillId="0" borderId="0" xfId="0" applyFont="1" applyProtection="1"/>
    <xf numFmtId="9" fontId="2" fillId="19" borderId="50" xfId="0" applyNumberFormat="1" applyFont="1" applyFill="1" applyBorder="1" applyProtection="1"/>
    <xf numFmtId="3" fontId="2" fillId="19" borderId="26" xfId="0" applyNumberFormat="1" applyFont="1" applyFill="1" applyBorder="1" applyProtection="1"/>
    <xf numFmtId="3" fontId="2" fillId="19" borderId="27" xfId="0" applyNumberFormat="1" applyFont="1" applyFill="1" applyBorder="1" applyProtection="1"/>
    <xf numFmtId="3" fontId="2" fillId="19" borderId="28" xfId="0" applyNumberFormat="1" applyFont="1" applyFill="1" applyBorder="1" applyProtection="1"/>
    <xf numFmtId="3" fontId="2" fillId="19" borderId="36" xfId="0" applyNumberFormat="1" applyFont="1" applyFill="1" applyBorder="1" applyProtection="1"/>
    <xf numFmtId="3" fontId="2" fillId="19" borderId="44" xfId="0" applyNumberFormat="1" applyFont="1" applyFill="1" applyBorder="1" applyProtection="1"/>
    <xf numFmtId="3" fontId="2" fillId="19" borderId="29" xfId="0" applyNumberFormat="1" applyFont="1" applyFill="1" applyBorder="1" applyProtection="1"/>
    <xf numFmtId="9" fontId="2" fillId="19" borderId="59" xfId="0" applyNumberFormat="1" applyFont="1" applyFill="1" applyBorder="1" applyProtection="1"/>
    <xf numFmtId="3" fontId="2" fillId="19" borderId="40" xfId="0" applyNumberFormat="1" applyFont="1" applyFill="1" applyBorder="1" applyProtection="1"/>
    <xf numFmtId="9" fontId="2" fillId="19" borderId="60" xfId="0" applyNumberFormat="1" applyFont="1" applyFill="1" applyBorder="1" applyProtection="1"/>
    <xf numFmtId="0" fontId="0" fillId="0" borderId="10" xfId="0" applyBorder="1" applyAlignment="1" applyProtection="1">
      <alignment horizontal="left"/>
    </xf>
    <xf numFmtId="3" fontId="2" fillId="19" borderId="31" xfId="0" applyNumberFormat="1" applyFont="1" applyFill="1" applyBorder="1" applyProtection="1"/>
    <xf numFmtId="3" fontId="2" fillId="19" borderId="30" xfId="0" applyNumberFormat="1" applyFont="1" applyFill="1" applyBorder="1" applyProtection="1"/>
    <xf numFmtId="3" fontId="2" fillId="19" borderId="45" xfId="0" applyNumberFormat="1" applyFont="1" applyFill="1" applyBorder="1" applyProtection="1"/>
    <xf numFmtId="9" fontId="2" fillId="19" borderId="61" xfId="0" applyNumberFormat="1" applyFont="1" applyFill="1" applyBorder="1" applyProtection="1"/>
    <xf numFmtId="9" fontId="2" fillId="19" borderId="62" xfId="0" applyNumberFormat="1" applyFont="1" applyFill="1" applyBorder="1" applyProtection="1"/>
    <xf numFmtId="3" fontId="0" fillId="0" borderId="19" xfId="0" applyNumberFormat="1" applyFill="1" applyBorder="1" applyProtection="1"/>
    <xf numFmtId="3" fontId="0" fillId="0" borderId="23" xfId="0" applyNumberFormat="1" applyFill="1" applyBorder="1" applyProtection="1"/>
    <xf numFmtId="3" fontId="0" fillId="0" borderId="0" xfId="0" applyNumberFormat="1" applyFill="1" applyProtection="1"/>
    <xf numFmtId="3" fontId="0" fillId="0" borderId="18" xfId="0" applyNumberFormat="1" applyFill="1" applyBorder="1" applyProtection="1"/>
    <xf numFmtId="9" fontId="2" fillId="17" borderId="17" xfId="0" applyNumberFormat="1" applyFont="1" applyFill="1" applyBorder="1" applyProtection="1"/>
    <xf numFmtId="9" fontId="0" fillId="0" borderId="17" xfId="0" applyNumberFormat="1" applyBorder="1" applyProtection="1"/>
    <xf numFmtId="3" fontId="2" fillId="19" borderId="34" xfId="0" applyNumberFormat="1" applyFont="1" applyFill="1" applyBorder="1" applyProtection="1"/>
    <xf numFmtId="3" fontId="2" fillId="19" borderId="33" xfId="0" applyNumberFormat="1" applyFont="1" applyFill="1" applyBorder="1" applyProtection="1"/>
    <xf numFmtId="3" fontId="2" fillId="19" borderId="37" xfId="0" applyNumberFormat="1" applyFont="1" applyFill="1" applyBorder="1" applyProtection="1"/>
    <xf numFmtId="3" fontId="2" fillId="19" borderId="46" xfId="0" applyNumberFormat="1" applyFont="1" applyFill="1" applyBorder="1" applyProtection="1"/>
    <xf numFmtId="3" fontId="2" fillId="19" borderId="35" xfId="0" applyNumberFormat="1" applyFont="1" applyFill="1" applyBorder="1" applyProtection="1"/>
    <xf numFmtId="9" fontId="2" fillId="19" borderId="63" xfId="0" applyNumberFormat="1" applyFont="1" applyFill="1" applyBorder="1" applyProtection="1"/>
    <xf numFmtId="3" fontId="2" fillId="19" borderId="41" xfId="0" applyNumberFormat="1" applyFont="1" applyFill="1" applyBorder="1" applyProtection="1"/>
    <xf numFmtId="9" fontId="2" fillId="19" borderId="48" xfId="0" applyNumberFormat="1" applyFont="1" applyFill="1" applyBorder="1" applyProtection="1"/>
    <xf numFmtId="0" fontId="0" fillId="0" borderId="15" xfId="0" applyBorder="1" applyAlignment="1" applyProtection="1">
      <alignment horizontal="left"/>
    </xf>
    <xf numFmtId="3" fontId="2" fillId="17" borderId="24" xfId="0" applyNumberFormat="1" applyFont="1" applyFill="1" applyBorder="1" applyProtection="1"/>
    <xf numFmtId="3" fontId="2" fillId="17" borderId="13" xfId="0" applyNumberFormat="1" applyFont="1" applyFill="1" applyBorder="1" applyProtection="1"/>
    <xf numFmtId="3" fontId="2" fillId="17" borderId="25" xfId="0" applyNumberFormat="1" applyFont="1" applyFill="1" applyBorder="1" applyProtection="1"/>
    <xf numFmtId="3" fontId="2" fillId="17" borderId="38" xfId="0" applyNumberFormat="1" applyFont="1" applyFill="1" applyBorder="1" applyProtection="1"/>
    <xf numFmtId="3" fontId="2" fillId="17" borderId="47" xfId="0" applyNumberFormat="1" applyFont="1" applyFill="1" applyBorder="1" applyProtection="1"/>
    <xf numFmtId="3" fontId="2" fillId="17" borderId="15" xfId="0" applyNumberFormat="1" applyFont="1" applyFill="1" applyBorder="1" applyProtection="1"/>
    <xf numFmtId="9" fontId="2" fillId="17" borderId="57" xfId="0" applyNumberFormat="1" applyFont="1" applyFill="1" applyBorder="1" applyProtection="1"/>
    <xf numFmtId="3" fontId="2" fillId="17" borderId="42" xfId="0" applyNumberFormat="1" applyFont="1" applyFill="1" applyBorder="1" applyProtection="1"/>
    <xf numFmtId="9" fontId="2" fillId="17" borderId="52" xfId="0" applyNumberFormat="1" applyFont="1" applyFill="1" applyBorder="1" applyProtection="1"/>
    <xf numFmtId="0" fontId="0" fillId="0" borderId="0" xfId="0" applyFill="1" applyProtection="1"/>
    <xf numFmtId="4" fontId="0" fillId="0" borderId="0" xfId="0" applyNumberFormat="1" applyProtection="1">
      <protection locked="0"/>
    </xf>
    <xf numFmtId="9" fontId="0" fillId="17" borderId="50" xfId="0" applyNumberFormat="1" applyFill="1" applyBorder="1" applyProtection="1"/>
    <xf numFmtId="3" fontId="3" fillId="22" borderId="0" xfId="37" applyNumberFormat="1" applyFill="1"/>
    <xf numFmtId="4" fontId="0" fillId="0" borderId="0" xfId="0" applyNumberFormat="1"/>
    <xf numFmtId="0" fontId="27" fillId="18" borderId="12" xfId="37" applyFont="1" applyFill="1" applyBorder="1" applyAlignment="1">
      <alignment horizontal="center"/>
    </xf>
    <xf numFmtId="14" fontId="27" fillId="18" borderId="13" xfId="0" applyNumberFormat="1" applyFont="1" applyFill="1" applyBorder="1" applyAlignment="1">
      <alignment horizontal="center"/>
    </xf>
    <xf numFmtId="3" fontId="27" fillId="19" borderId="0" xfId="37" applyNumberFormat="1" applyFont="1" applyFill="1" applyProtection="1">
      <protection locked="0"/>
    </xf>
    <xf numFmtId="3" fontId="27" fillId="19" borderId="33" xfId="37" applyNumberFormat="1" applyFont="1" applyFill="1" applyBorder="1" applyProtection="1">
      <protection locked="0"/>
    </xf>
    <xf numFmtId="0" fontId="2" fillId="19" borderId="16" xfId="37" applyFont="1" applyFill="1" applyBorder="1" applyAlignment="1">
      <alignment horizontal="center"/>
    </xf>
    <xf numFmtId="0" fontId="2" fillId="19" borderId="24" xfId="0" applyFont="1" applyFill="1" applyBorder="1" applyAlignment="1">
      <alignment horizontal="center"/>
    </xf>
    <xf numFmtId="3" fontId="3" fillId="0" borderId="0" xfId="37" applyNumberFormat="1" applyFont="1" applyProtection="1">
      <protection locked="0"/>
    </xf>
    <xf numFmtId="0" fontId="27" fillId="0" borderId="12" xfId="0" applyFont="1" applyBorder="1" applyAlignment="1">
      <alignment horizontal="center"/>
    </xf>
    <xf numFmtId="0" fontId="2" fillId="19" borderId="49" xfId="0" applyFont="1" applyFill="1" applyBorder="1" applyAlignment="1" applyProtection="1">
      <alignment horizontal="center"/>
    </xf>
    <xf numFmtId="14" fontId="27" fillId="0" borderId="13" xfId="0" applyNumberFormat="1" applyFont="1" applyBorder="1" applyAlignment="1">
      <alignment horizontal="center"/>
    </xf>
    <xf numFmtId="0" fontId="2" fillId="19" borderId="47" xfId="0" applyFont="1" applyFill="1" applyBorder="1" applyAlignment="1" applyProtection="1">
      <alignment horizontal="center"/>
    </xf>
    <xf numFmtId="3" fontId="27" fillId="17" borderId="0" xfId="0" applyNumberFormat="1" applyFont="1" applyFill="1"/>
    <xf numFmtId="0" fontId="3" fillId="0" borderId="0" xfId="0" applyFont="1" applyProtection="1"/>
    <xf numFmtId="3" fontId="27" fillId="19" borderId="0" xfId="0" applyNumberFormat="1" applyFont="1" applyFill="1"/>
    <xf numFmtId="3" fontId="27" fillId="19" borderId="27" xfId="0" applyNumberFormat="1" applyFont="1" applyFill="1" applyBorder="1"/>
    <xf numFmtId="3" fontId="27" fillId="19" borderId="30" xfId="0" applyNumberFormat="1" applyFont="1" applyFill="1" applyBorder="1"/>
    <xf numFmtId="3" fontId="27" fillId="19" borderId="33" xfId="0" applyNumberFormat="1" applyFont="1" applyFill="1" applyBorder="1"/>
    <xf numFmtId="3" fontId="27" fillId="17" borderId="13" xfId="0" applyNumberFormat="1" applyFont="1" applyFill="1" applyBorder="1"/>
    <xf numFmtId="39" fontId="0" fillId="0" borderId="0" xfId="0" applyNumberFormat="1" applyProtection="1"/>
    <xf numFmtId="1" fontId="3" fillId="22" borderId="0" xfId="37" applyNumberFormat="1" applyFill="1"/>
    <xf numFmtId="0" fontId="3" fillId="0" borderId="22" xfId="0" applyFont="1" applyBorder="1" applyProtection="1"/>
    <xf numFmtId="0" fontId="0" fillId="0" borderId="0" xfId="0" applyFont="1" applyProtection="1"/>
    <xf numFmtId="3" fontId="3" fillId="22" borderId="0" xfId="37" applyNumberFormat="1" applyFill="1" applyProtection="1">
      <protection locked="0"/>
    </xf>
    <xf numFmtId="4" fontId="2" fillId="19" borderId="33" xfId="0" applyNumberFormat="1" applyFont="1" applyFill="1" applyBorder="1" applyProtection="1">
      <protection locked="0"/>
    </xf>
    <xf numFmtId="4" fontId="2" fillId="19" borderId="32" xfId="37" applyNumberFormat="1" applyFont="1" applyFill="1" applyBorder="1"/>
    <xf numFmtId="37" fontId="0" fillId="0" borderId="16" xfId="0" applyNumberFormat="1" applyBorder="1" applyProtection="1"/>
    <xf numFmtId="4" fontId="3" fillId="17" borderId="19" xfId="37" applyNumberFormat="1" applyFill="1" applyBorder="1"/>
    <xf numFmtId="4" fontId="3" fillId="0" borderId="19" xfId="37" applyNumberFormat="1" applyBorder="1"/>
    <xf numFmtId="0" fontId="29" fillId="0" borderId="11" xfId="0" applyFont="1" applyBorder="1" applyAlignment="1">
      <alignment horizontal="center"/>
    </xf>
    <xf numFmtId="14" fontId="29" fillId="0" borderId="38" xfId="0" applyNumberFormat="1" applyFont="1" applyBorder="1" applyAlignment="1">
      <alignment horizontal="center"/>
    </xf>
    <xf numFmtId="3" fontId="29" fillId="17" borderId="0" xfId="0" applyNumberFormat="1" applyFont="1" applyFill="1" applyProtection="1">
      <protection locked="0"/>
    </xf>
    <xf numFmtId="3" fontId="28" fillId="0" borderId="0" xfId="0" applyNumberFormat="1" applyFont="1" applyProtection="1">
      <protection locked="0"/>
    </xf>
    <xf numFmtId="3" fontId="29" fillId="19" borderId="0" xfId="0" applyNumberFormat="1" applyFont="1" applyFill="1" applyProtection="1">
      <protection locked="0"/>
    </xf>
    <xf numFmtId="3" fontId="29" fillId="19" borderId="27" xfId="0" applyNumberFormat="1" applyFont="1" applyFill="1" applyBorder="1" applyProtection="1">
      <protection locked="0"/>
    </xf>
    <xf numFmtId="3" fontId="29" fillId="19" borderId="33" xfId="0" applyNumberFormat="1" applyFont="1" applyFill="1" applyBorder="1" applyProtection="1">
      <protection locked="0"/>
    </xf>
    <xf numFmtId="3" fontId="29" fillId="17" borderId="13" xfId="0" applyNumberFormat="1" applyFont="1" applyFill="1" applyBorder="1" applyProtection="1">
      <protection locked="0"/>
    </xf>
    <xf numFmtId="0" fontId="29" fillId="0" borderId="11" xfId="37" applyFont="1" applyBorder="1" applyAlignment="1">
      <alignment horizontal="center"/>
    </xf>
    <xf numFmtId="3" fontId="29" fillId="19" borderId="18" xfId="37" applyNumberFormat="1" applyFont="1" applyFill="1" applyBorder="1" applyProtection="1">
      <protection locked="0"/>
    </xf>
    <xf numFmtId="3" fontId="29" fillId="19" borderId="37" xfId="37" applyNumberFormat="1" applyFont="1" applyFill="1" applyBorder="1" applyProtection="1">
      <protection locked="0"/>
    </xf>
    <xf numFmtId="3" fontId="3" fillId="0" borderId="0" xfId="37" applyNumberFormat="1" applyFont="1" applyFill="1" applyProtection="1">
      <protection locked="0"/>
    </xf>
    <xf numFmtId="0" fontId="29" fillId="0" borderId="12" xfId="0" applyFont="1" applyBorder="1" applyAlignment="1">
      <alignment horizontal="center"/>
    </xf>
    <xf numFmtId="14" fontId="29" fillId="0" borderId="13" xfId="0" applyNumberFormat="1" applyFont="1" applyBorder="1" applyAlignment="1">
      <alignment horizontal="center"/>
    </xf>
    <xf numFmtId="3" fontId="29" fillId="19" borderId="30" xfId="0" applyNumberFormat="1" applyFont="1" applyFill="1" applyBorder="1" applyProtection="1">
      <protection locked="0"/>
    </xf>
    <xf numFmtId="0" fontId="29" fillId="0" borderId="12" xfId="37" applyFont="1" applyBorder="1" applyAlignment="1">
      <alignment horizontal="center"/>
    </xf>
    <xf numFmtId="3" fontId="29" fillId="19" borderId="0" xfId="37" applyNumberFormat="1" applyFont="1" applyFill="1" applyProtection="1">
      <protection locked="0"/>
    </xf>
    <xf numFmtId="3" fontId="29" fillId="19" borderId="33" xfId="37" applyNumberFormat="1" applyFont="1" applyFill="1" applyBorder="1" applyProtection="1">
      <protection locked="0"/>
    </xf>
    <xf numFmtId="164" fontId="0" fillId="0" borderId="0" xfId="45" applyNumberFormat="1" applyFont="1"/>
    <xf numFmtId="4" fontId="0" fillId="0" borderId="0" xfId="0" applyNumberFormat="1" applyFill="1"/>
    <xf numFmtId="0" fontId="30" fillId="0" borderId="12" xfId="0" applyFont="1" applyBorder="1" applyAlignment="1">
      <alignment horizontal="center"/>
    </xf>
    <xf numFmtId="14" fontId="30" fillId="0" borderId="13" xfId="0" applyNumberFormat="1" applyFont="1" applyBorder="1" applyAlignment="1">
      <alignment horizontal="center"/>
    </xf>
    <xf numFmtId="3" fontId="30" fillId="17" borderId="0" xfId="0" applyNumberFormat="1" applyFont="1" applyFill="1"/>
    <xf numFmtId="3" fontId="30" fillId="19" borderId="0" xfId="0" applyNumberFormat="1" applyFont="1" applyFill="1"/>
    <xf numFmtId="3" fontId="30" fillId="19" borderId="27" xfId="0" applyNumberFormat="1" applyFont="1" applyFill="1" applyBorder="1"/>
    <xf numFmtId="3" fontId="30" fillId="19" borderId="30" xfId="0" applyNumberFormat="1" applyFont="1" applyFill="1" applyBorder="1"/>
    <xf numFmtId="3" fontId="30" fillId="19" borderId="33" xfId="0" applyNumberFormat="1" applyFont="1" applyFill="1" applyBorder="1"/>
    <xf numFmtId="3" fontId="30" fillId="17" borderId="13" xfId="0" applyNumberFormat="1" applyFont="1" applyFill="1" applyBorder="1"/>
    <xf numFmtId="0" fontId="30" fillId="18" borderId="12" xfId="37" applyFont="1" applyFill="1" applyBorder="1" applyAlignment="1">
      <alignment horizontal="center"/>
    </xf>
    <xf numFmtId="14" fontId="30" fillId="18" borderId="13" xfId="0" applyNumberFormat="1" applyFont="1" applyFill="1" applyBorder="1" applyAlignment="1">
      <alignment horizontal="center"/>
    </xf>
    <xf numFmtId="3" fontId="30" fillId="19" borderId="0" xfId="37" applyNumberFormat="1" applyFont="1" applyFill="1" applyProtection="1">
      <protection locked="0"/>
    </xf>
    <xf numFmtId="3" fontId="30" fillId="19" borderId="33" xfId="37" applyNumberFormat="1" applyFont="1" applyFill="1" applyBorder="1" applyProtection="1">
      <protection locked="0"/>
    </xf>
    <xf numFmtId="3" fontId="2" fillId="17" borderId="0" xfId="0" applyNumberFormat="1" applyFont="1" applyFill="1"/>
    <xf numFmtId="3" fontId="2" fillId="19" borderId="0" xfId="0" applyNumberFormat="1" applyFont="1" applyFill="1"/>
    <xf numFmtId="3" fontId="2" fillId="19" borderId="27" xfId="0" applyNumberFormat="1" applyFont="1" applyFill="1" applyBorder="1"/>
    <xf numFmtId="3" fontId="2" fillId="19" borderId="30" xfId="0" applyNumberFormat="1" applyFont="1" applyFill="1" applyBorder="1"/>
    <xf numFmtId="3" fontId="2" fillId="19" borderId="33" xfId="0" applyNumberFormat="1" applyFont="1" applyFill="1" applyBorder="1"/>
    <xf numFmtId="3" fontId="2" fillId="17" borderId="13" xfId="0" applyNumberFormat="1" applyFont="1" applyFill="1" applyBorder="1"/>
    <xf numFmtId="0" fontId="2" fillId="18" borderId="12" xfId="37" applyFont="1" applyFill="1" applyBorder="1" applyAlignment="1">
      <alignment horizontal="center"/>
    </xf>
    <xf numFmtId="14" fontId="2" fillId="18" borderId="13" xfId="0" applyNumberFormat="1" applyFont="1" applyFill="1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3" xfId="44"/>
    <cellStyle name="Normal_ConsolFinancialstemplate_whm_Q2_v3" xfId="37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282575</xdr:colOff>
      <xdr:row>2</xdr:row>
      <xdr:rowOff>53975</xdr:rowOff>
    </xdr:from>
    <xdr:ext cx="2614689" cy="28520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6575" y="406400"/>
          <a:ext cx="23174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oneCellAnchor>
  <xdr:twoCellAnchor>
    <xdr:from>
      <xdr:col>4</xdr:col>
      <xdr:colOff>66675</xdr:colOff>
      <xdr:row>3</xdr:row>
      <xdr:rowOff>9525</xdr:rowOff>
    </xdr:from>
    <xdr:to>
      <xdr:col>4</xdr:col>
      <xdr:colOff>295275</xdr:colOff>
      <xdr:row>3</xdr:row>
      <xdr:rowOff>57150</xdr:rowOff>
    </xdr:to>
    <xdr:cxnSp macro="">
      <xdr:nvCxnSpPr>
        <xdr:cNvPr id="1126" name="Straight Arrow Connector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CxnSpPr>
          <a:cxnSpLocks noChangeShapeType="1"/>
          <a:stCxn id="2" idx="1"/>
        </xdr:cNvCxnSpPr>
      </xdr:nvCxnSpPr>
      <xdr:spPr bwMode="auto">
        <a:xfrm rot="10800000" flipV="1">
          <a:off x="1590675" y="533400"/>
          <a:ext cx="228600" cy="4762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57150</xdr:rowOff>
    </xdr:from>
    <xdr:to>
      <xdr:col>4</xdr:col>
      <xdr:colOff>428625</xdr:colOff>
      <xdr:row>3</xdr:row>
      <xdr:rowOff>104775</xdr:rowOff>
    </xdr:to>
    <xdr:cxnSp macro="">
      <xdr:nvCxnSpPr>
        <xdr:cNvPr id="7269" name="Straight Arrow Connector 1">
          <a:extLst>
            <a:ext uri="{FF2B5EF4-FFF2-40B4-BE49-F238E27FC236}">
              <a16:creationId xmlns:a16="http://schemas.microsoft.com/office/drawing/2014/main" id="{00000000-0008-0000-0300-0000651C0000}"/>
            </a:ext>
          </a:extLst>
        </xdr:cNvPr>
        <xdr:cNvCxnSpPr>
          <a:cxnSpLocks noChangeShapeType="1"/>
        </xdr:cNvCxnSpPr>
      </xdr:nvCxnSpPr>
      <xdr:spPr bwMode="auto">
        <a:xfrm rot="10800000" flipV="1">
          <a:off x="1924050" y="609600"/>
          <a:ext cx="228600" cy="4762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4</xdr:col>
      <xdr:colOff>520700</xdr:colOff>
      <xdr:row>1</xdr:row>
      <xdr:rowOff>41275</xdr:rowOff>
    </xdr:from>
    <xdr:ext cx="1590947" cy="43678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244725" y="231775"/>
          <a:ext cx="159094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28575</xdr:rowOff>
    </xdr:from>
    <xdr:to>
      <xdr:col>4</xdr:col>
      <xdr:colOff>409575</xdr:colOff>
      <xdr:row>3</xdr:row>
      <xdr:rowOff>76200</xdr:rowOff>
    </xdr:to>
    <xdr:cxnSp macro="">
      <xdr:nvCxnSpPr>
        <xdr:cNvPr id="8381" name="Straight Arrow Connector 1">
          <a:extLst>
            <a:ext uri="{FF2B5EF4-FFF2-40B4-BE49-F238E27FC236}">
              <a16:creationId xmlns:a16="http://schemas.microsoft.com/office/drawing/2014/main" id="{00000000-0008-0000-0600-0000BD200000}"/>
            </a:ext>
          </a:extLst>
        </xdr:cNvPr>
        <xdr:cNvCxnSpPr>
          <a:cxnSpLocks noChangeShapeType="1"/>
        </xdr:cNvCxnSpPr>
      </xdr:nvCxnSpPr>
      <xdr:spPr bwMode="auto">
        <a:xfrm rot="10800000" flipV="1">
          <a:off x="1905000" y="581025"/>
          <a:ext cx="228600" cy="4762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485775</xdr:colOff>
      <xdr:row>2</xdr:row>
      <xdr:rowOff>12700</xdr:rowOff>
    </xdr:from>
    <xdr:to>
      <xdr:col>6</xdr:col>
      <xdr:colOff>57388</xdr:colOff>
      <xdr:row>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247900" y="381000"/>
          <a:ext cx="14732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ter </a:t>
          </a:r>
          <a:endParaRPr lang="en-US" sz="1100" b="0" i="0" u="none" strike="noStrike" baseline="0">
            <a:solidFill>
              <a:sysClr val="windowText" lastClr="000000"/>
            </a:solidFill>
            <a:latin typeface="Calibri"/>
          </a:endParaRPr>
        </a:p>
      </xdr:txBody>
    </xdr:sp>
    <xdr:clientData/>
  </xdr:twoCellAnchor>
  <xdr:twoCellAnchor>
    <xdr:from>
      <xdr:col>4</xdr:col>
      <xdr:colOff>177800</xdr:colOff>
      <xdr:row>3</xdr:row>
      <xdr:rowOff>25400</xdr:rowOff>
    </xdr:from>
    <xdr:to>
      <xdr:col>4</xdr:col>
      <xdr:colOff>406400</xdr:colOff>
      <xdr:row>3</xdr:row>
      <xdr:rowOff>76200</xdr:rowOff>
    </xdr:to>
    <xdr:cxnSp macro="">
      <xdr:nvCxnSpPr>
        <xdr:cNvPr id="8315" name="Straight Arrow Connector 1">
          <a:extLst>
            <a:ext uri="{FF2B5EF4-FFF2-40B4-BE49-F238E27FC236}">
              <a16:creationId xmlns:a16="http://schemas.microsoft.com/office/drawing/2014/main" id="{00000000-0008-0000-0600-00007B200000}"/>
            </a:ext>
          </a:extLst>
        </xdr:cNvPr>
        <xdr:cNvCxnSpPr>
          <a:cxnSpLocks noChangeShapeType="1"/>
        </xdr:cNvCxnSpPr>
      </xdr:nvCxnSpPr>
      <xdr:spPr bwMode="auto">
        <a:xfrm rot="10800000" flipV="1">
          <a:off x="1892300" y="571500"/>
          <a:ext cx="266700" cy="5080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63500" dist="20000" dir="5400000" rotWithShape="0">
            <a:srgbClr val="000000">
              <a:alpha val="37999"/>
            </a:srgbClr>
          </a:outerShdw>
        </a:effectLst>
      </xdr:spPr>
    </xdr:cxnSp>
    <xdr:clientData/>
  </xdr:twoCellAnchor>
  <xdr:twoCellAnchor>
    <xdr:from>
      <xdr:col>4</xdr:col>
      <xdr:colOff>488950</xdr:colOff>
      <xdr:row>1</xdr:row>
      <xdr:rowOff>50801</xdr:rowOff>
    </xdr:from>
    <xdr:to>
      <xdr:col>6</xdr:col>
      <xdr:colOff>695325</xdr:colOff>
      <xdr:row>4</xdr:row>
      <xdr:rowOff>1</xdr:rowOff>
    </xdr:to>
    <xdr:sp macro="" textlink="">
      <xdr:nvSpPr>
        <xdr:cNvPr id="1026" name="TextBox 2">
          <a:extLst>
            <a:ext uri="{FF2B5EF4-FFF2-40B4-BE49-F238E27FC236}">
              <a16:creationId xmlns:a16="http://schemas.microsoft.com/office/drawing/2014/main" id="{00000000-0008-0000-0600-000002040000}"/>
            </a:ext>
          </a:extLst>
        </xdr:cNvPr>
        <xdr:cNvSpPr txBox="1">
          <a:spLocks noChangeArrowheads="1"/>
        </xdr:cNvSpPr>
      </xdr:nvSpPr>
      <xdr:spPr bwMode="auto">
        <a:xfrm>
          <a:off x="2212975" y="241301"/>
          <a:ext cx="1501775" cy="4826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142875</xdr:rowOff>
    </xdr:from>
    <xdr:to>
      <xdr:col>4</xdr:col>
      <xdr:colOff>333375</xdr:colOff>
      <xdr:row>3</xdr:row>
      <xdr:rowOff>85725</xdr:rowOff>
    </xdr:to>
    <xdr:cxnSp macro="">
      <xdr:nvCxnSpPr>
        <xdr:cNvPr id="9403" name="Straight Arrow Connector 1">
          <a:extLst>
            <a:ext uri="{FF2B5EF4-FFF2-40B4-BE49-F238E27FC236}">
              <a16:creationId xmlns:a16="http://schemas.microsoft.com/office/drawing/2014/main" id="{00000000-0008-0000-0900-0000BB240000}"/>
            </a:ext>
          </a:extLst>
        </xdr:cNvPr>
        <xdr:cNvCxnSpPr>
          <a:cxnSpLocks noChangeShapeType="1"/>
        </xdr:cNvCxnSpPr>
      </xdr:nvCxnSpPr>
      <xdr:spPr bwMode="auto">
        <a:xfrm rot="10800000" flipV="1">
          <a:off x="1819275" y="495300"/>
          <a:ext cx="238125" cy="14287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428625</xdr:colOff>
      <xdr:row>2</xdr:row>
      <xdr:rowOff>0</xdr:rowOff>
    </xdr:from>
    <xdr:to>
      <xdr:col>11</xdr:col>
      <xdr:colOff>241366</xdr:colOff>
      <xdr:row>3</xdr:row>
      <xdr:rowOff>165100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2209800" y="368300"/>
          <a:ext cx="28194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twoCellAnchor>
  <xdr:twoCellAnchor>
    <xdr:from>
      <xdr:col>4</xdr:col>
      <xdr:colOff>95250</xdr:colOff>
      <xdr:row>2</xdr:row>
      <xdr:rowOff>139700</xdr:rowOff>
    </xdr:from>
    <xdr:to>
      <xdr:col>4</xdr:col>
      <xdr:colOff>336112</xdr:colOff>
      <xdr:row>3</xdr:row>
      <xdr:rowOff>88900</xdr:rowOff>
    </xdr:to>
    <xdr:cxnSp macro="">
      <xdr:nvCxnSpPr>
        <xdr:cNvPr id="9337" name="Straight Arrow Connector 1">
          <a:extLst>
            <a:ext uri="{FF2B5EF4-FFF2-40B4-BE49-F238E27FC236}">
              <a16:creationId xmlns:a16="http://schemas.microsoft.com/office/drawing/2014/main" id="{00000000-0008-0000-0900-000079240000}"/>
            </a:ext>
          </a:extLst>
        </xdr:cNvPr>
        <xdr:cNvCxnSpPr>
          <a:cxnSpLocks noChangeShapeType="1"/>
        </xdr:cNvCxnSpPr>
      </xdr:nvCxnSpPr>
      <xdr:spPr bwMode="auto">
        <a:xfrm rot="10800000" flipV="1">
          <a:off x="1816100" y="508000"/>
          <a:ext cx="279400" cy="12700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63500" dist="20000" dir="5400000" rotWithShape="0">
            <a:srgbClr val="000000">
              <a:alpha val="37999"/>
            </a:srgbClr>
          </a:outerShdw>
        </a:effectLst>
      </xdr:spPr>
    </xdr:cxnSp>
    <xdr:clientData/>
  </xdr:twoCellAnchor>
  <xdr:twoCellAnchor>
    <xdr:from>
      <xdr:col>4</xdr:col>
      <xdr:colOff>426085</xdr:colOff>
      <xdr:row>2</xdr:row>
      <xdr:rowOff>0</xdr:rowOff>
    </xdr:from>
    <xdr:to>
      <xdr:col>11</xdr:col>
      <xdr:colOff>590550</xdr:colOff>
      <xdr:row>3</xdr:row>
      <xdr:rowOff>160387</xdr:rowOff>
    </xdr:to>
    <xdr:sp macro="" textlink="">
      <xdr:nvSpPr>
        <xdr:cNvPr id="3" name="TextBox 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150110" y="352425"/>
          <a:ext cx="2364740" cy="360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7"/>
    <pageSetUpPr fitToPage="1"/>
  </sheetPr>
  <dimension ref="A1:U175"/>
  <sheetViews>
    <sheetView tabSelected="1" zoomScaleNormal="100" workbookViewId="0">
      <pane xSplit="5" ySplit="6" topLeftCell="F7" activePane="bottomRight" state="frozen"/>
      <selection activeCell="E141" sqref="E141"/>
      <selection pane="topRight" activeCell="E141" sqref="E141"/>
      <selection pane="bottomLeft" activeCell="E141" sqref="E141"/>
      <selection pane="bottomRight" activeCell="F7" sqref="F7"/>
    </sheetView>
  </sheetViews>
  <sheetFormatPr defaultColWidth="11.08984375" defaultRowHeight="12.6" outlineLevelRow="1" outlineLevelCol="1" x14ac:dyDescent="0.2"/>
  <cols>
    <col min="1" max="1" width="4.08984375" style="116" customWidth="1"/>
    <col min="2" max="2" width="4.7265625" style="116" customWidth="1"/>
    <col min="3" max="3" width="9.6328125" style="116" customWidth="1"/>
    <col min="4" max="4" width="4.08984375" style="116" customWidth="1"/>
    <col min="5" max="5" width="9.26953125" style="116" customWidth="1"/>
    <col min="6" max="6" width="7.7265625" style="116" customWidth="1"/>
    <col min="7" max="7" width="11.90625" style="116" customWidth="1"/>
    <col min="8" max="9" width="11.90625" hidden="1" customWidth="1" outlineLevel="1"/>
    <col min="10" max="10" width="12.6328125" hidden="1" customWidth="1" outlineLevel="1"/>
    <col min="11" max="11" width="11.90625" hidden="1" customWidth="1" outlineLevel="1"/>
    <col min="12" max="12" width="11.08984375" style="116" customWidth="1" collapsed="1"/>
    <col min="13" max="13" width="11.08984375" style="116"/>
    <col min="14" max="14" width="12.36328125" style="116" customWidth="1"/>
    <col min="15" max="15" width="11.08984375" style="116"/>
    <col min="16" max="16" width="12.7265625" style="116" customWidth="1"/>
    <col min="17" max="17" width="12" style="116" customWidth="1"/>
    <col min="18" max="18" width="11.08984375" style="116"/>
    <col min="19" max="19" width="10.08984375" style="116" customWidth="1"/>
    <col min="20" max="16384" width="11.08984375" style="116"/>
  </cols>
  <sheetData>
    <row r="1" spans="1:21" ht="16.2" x14ac:dyDescent="0.3">
      <c r="A1" s="115" t="s">
        <v>188</v>
      </c>
    </row>
    <row r="2" spans="1:21" x14ac:dyDescent="0.2">
      <c r="A2" s="117" t="s">
        <v>81</v>
      </c>
    </row>
    <row r="3" spans="1:21" ht="15" thickBot="1" x14ac:dyDescent="0.35">
      <c r="A3" s="118" t="s">
        <v>127</v>
      </c>
      <c r="E3" s="139"/>
    </row>
    <row r="4" spans="1:21" ht="13.2" thickBot="1" x14ac:dyDescent="0.25">
      <c r="A4" s="118" t="s">
        <v>34</v>
      </c>
      <c r="D4" s="119">
        <v>4</v>
      </c>
    </row>
    <row r="5" spans="1:21" customFormat="1" x14ac:dyDescent="0.2">
      <c r="A5" s="1"/>
      <c r="F5" s="10" t="s">
        <v>212</v>
      </c>
      <c r="G5" s="28" t="s">
        <v>263</v>
      </c>
      <c r="H5" s="8" t="s">
        <v>128</v>
      </c>
      <c r="I5" s="6" t="s">
        <v>128</v>
      </c>
      <c r="J5" s="6" t="s">
        <v>128</v>
      </c>
      <c r="K5" s="237" t="s">
        <v>128</v>
      </c>
      <c r="L5" s="4" t="s">
        <v>134</v>
      </c>
      <c r="M5" s="5" t="s">
        <v>134</v>
      </c>
      <c r="N5" s="5" t="s">
        <v>134</v>
      </c>
      <c r="O5" s="5" t="s">
        <v>134</v>
      </c>
      <c r="P5" s="26" t="s">
        <v>29</v>
      </c>
      <c r="Q5" s="238" t="s">
        <v>19</v>
      </c>
      <c r="R5" s="24" t="s">
        <v>135</v>
      </c>
      <c r="S5" s="140" t="s">
        <v>135</v>
      </c>
      <c r="T5" s="141" t="s">
        <v>136</v>
      </c>
      <c r="U5" s="142" t="s">
        <v>265</v>
      </c>
    </row>
    <row r="6" spans="1:21" customFormat="1" x14ac:dyDescent="0.2">
      <c r="F6" s="11" t="s">
        <v>213</v>
      </c>
      <c r="G6" s="29" t="s">
        <v>426</v>
      </c>
      <c r="H6" s="69">
        <v>41089</v>
      </c>
      <c r="I6" s="70">
        <v>41181</v>
      </c>
      <c r="J6" s="70">
        <v>41273</v>
      </c>
      <c r="K6" s="239">
        <v>41363</v>
      </c>
      <c r="L6" s="69">
        <v>41089</v>
      </c>
      <c r="M6" s="70">
        <v>41181</v>
      </c>
      <c r="N6" s="70">
        <v>41273</v>
      </c>
      <c r="O6" s="70">
        <v>41363</v>
      </c>
      <c r="P6" s="75" t="s">
        <v>438</v>
      </c>
      <c r="Q6" s="240" t="s">
        <v>438</v>
      </c>
      <c r="R6" s="25" t="s">
        <v>16</v>
      </c>
      <c r="S6" s="143" t="s">
        <v>17</v>
      </c>
      <c r="T6" s="144" t="s">
        <v>18</v>
      </c>
      <c r="U6" s="145" t="s">
        <v>108</v>
      </c>
    </row>
    <row r="7" spans="1:21" x14ac:dyDescent="0.2">
      <c r="A7" s="118" t="s">
        <v>189</v>
      </c>
      <c r="B7" s="118"/>
      <c r="F7" s="146"/>
      <c r="G7" s="147"/>
      <c r="H7" s="83"/>
      <c r="I7" s="83"/>
      <c r="J7" s="83"/>
      <c r="K7" s="15"/>
      <c r="L7" s="149"/>
      <c r="M7" s="148"/>
      <c r="N7" s="148"/>
      <c r="O7" s="148"/>
      <c r="P7" s="150"/>
      <c r="Q7" s="151"/>
      <c r="R7" s="152"/>
      <c r="S7" s="153"/>
      <c r="T7" s="154"/>
      <c r="U7" s="155"/>
    </row>
    <row r="8" spans="1:21" x14ac:dyDescent="0.2">
      <c r="A8" s="118"/>
      <c r="B8" s="118" t="s">
        <v>3</v>
      </c>
      <c r="F8" s="156"/>
      <c r="G8" s="157">
        <f>'CAC Inc Stmt'!G8+'AL Inc Stmt'!G8+'ESL Inc Stmt'!G8</f>
        <v>41567.78</v>
      </c>
      <c r="H8" s="84">
        <f>'CAC Inc Stmt'!H8+'AL Inc Stmt'!H8+'ESL Inc Stmt'!H8</f>
        <v>10462</v>
      </c>
      <c r="I8" s="84">
        <f>'CAC Inc Stmt'!I8+'AL Inc Stmt'!I8+'ESL Inc Stmt'!I8</f>
        <v>27083</v>
      </c>
      <c r="J8" s="84">
        <f>'CAC Inc Stmt'!J8+'AL Inc Stmt'!J8+'ESL Inc Stmt'!J8</f>
        <v>34145</v>
      </c>
      <c r="K8" s="241">
        <f>'CAC Inc Stmt'!K8+'AL Inc Stmt'!K8+'ESL Inc Stmt'!K8</f>
        <v>40441</v>
      </c>
      <c r="L8" s="159">
        <f>'CAC Inc Stmt'!L8+'AL Inc Stmt'!L8+'ESL Inc Stmt'!L8</f>
        <v>10462</v>
      </c>
      <c r="M8" s="158">
        <f>'CAC Inc Stmt'!M8+'AL Inc Stmt'!M8+'ESL Inc Stmt'!M8</f>
        <v>16621</v>
      </c>
      <c r="N8" s="158">
        <f>'CAC Inc Stmt'!N8+'AL Inc Stmt'!N8+'ESL Inc Stmt'!N8</f>
        <v>7062</v>
      </c>
      <c r="O8" s="158">
        <f>'CAC Inc Stmt'!O8+'AL Inc Stmt'!O8+'ESL Inc Stmt'!O8</f>
        <v>6296</v>
      </c>
      <c r="P8" s="160">
        <f>'CAC Inc Stmt'!P8+'AL Inc Stmt'!P8+'ESL Inc Stmt'!P8</f>
        <v>40441</v>
      </c>
      <c r="Q8" s="161">
        <f>'CAC Inc Stmt'!Q8+'AL Inc Stmt'!Q8+'ESL Inc Stmt'!Q8</f>
        <v>41567</v>
      </c>
      <c r="R8" s="162">
        <f>SUM(R9:R18)</f>
        <v>-1126</v>
      </c>
      <c r="S8" s="163">
        <f t="shared" ref="S8:S16" si="0">IF(Q8=0,"",P8/Q8)</f>
        <v>0.97291120359900884</v>
      </c>
      <c r="T8" s="164">
        <f>SUM(T9:T18)</f>
        <v>-1126.7799999999997</v>
      </c>
      <c r="U8" s="165">
        <f t="shared" ref="U8:U17" si="1">IF(G8=0,"",P8/G8)</f>
        <v>0.97289294737414411</v>
      </c>
    </row>
    <row r="9" spans="1:21" outlineLevel="1" x14ac:dyDescent="0.2">
      <c r="C9" s="116" t="s">
        <v>106</v>
      </c>
      <c r="F9" s="156"/>
      <c r="G9" s="166">
        <f>'CAC Inc Stmt'!G9+'AL Inc Stmt'!G9+'ESL Inc Stmt'!G9</f>
        <v>3709</v>
      </c>
      <c r="H9" s="83">
        <f>'CAC Inc Stmt'!H9+'AL Inc Stmt'!H9+'ESL Inc Stmt'!H9</f>
        <v>0</v>
      </c>
      <c r="I9" s="83">
        <f>'CAC Inc Stmt'!I9+'AL Inc Stmt'!I9+'ESL Inc Stmt'!I9</f>
        <v>230</v>
      </c>
      <c r="J9" s="83">
        <f>'CAC Inc Stmt'!J9+'AL Inc Stmt'!J9+'ESL Inc Stmt'!J9</f>
        <v>230</v>
      </c>
      <c r="K9" s="15">
        <f>'CAC Inc Stmt'!K9+'AL Inc Stmt'!K9+'ESL Inc Stmt'!K9</f>
        <v>1850</v>
      </c>
      <c r="L9" s="167">
        <f>'CAC Inc Stmt'!L9+'AL Inc Stmt'!L9+'ESL Inc Stmt'!L9</f>
        <v>0</v>
      </c>
      <c r="M9" s="148">
        <f>'CAC Inc Stmt'!M9+'AL Inc Stmt'!M9+'ESL Inc Stmt'!M9</f>
        <v>230</v>
      </c>
      <c r="N9" s="148">
        <f>'CAC Inc Stmt'!N9+'AL Inc Stmt'!N9+'ESL Inc Stmt'!N9</f>
        <v>0</v>
      </c>
      <c r="O9" s="148">
        <f>'CAC Inc Stmt'!O9+'AL Inc Stmt'!O9+'ESL Inc Stmt'!O9</f>
        <v>1620</v>
      </c>
      <c r="P9" s="150">
        <f>'CAC Inc Stmt'!P9+'AL Inc Stmt'!P9+'ESL Inc Stmt'!P9</f>
        <v>1850</v>
      </c>
      <c r="Q9" s="151">
        <f>'CAC Inc Stmt'!Q9+'AL Inc Stmt'!Q9+'ESL Inc Stmt'!Q9</f>
        <v>3709</v>
      </c>
      <c r="R9" s="152">
        <f>P9-Q9</f>
        <v>-1859</v>
      </c>
      <c r="S9" s="168">
        <f t="shared" si="0"/>
        <v>0.49878673496899434</v>
      </c>
      <c r="T9" s="154">
        <f>P9-G9</f>
        <v>-1859</v>
      </c>
      <c r="U9" s="169">
        <f t="shared" si="1"/>
        <v>0.49878673496899434</v>
      </c>
    </row>
    <row r="10" spans="1:21" outlineLevel="1" x14ac:dyDescent="0.2">
      <c r="C10" s="116" t="s">
        <v>107</v>
      </c>
      <c r="F10" s="156" t="s">
        <v>198</v>
      </c>
      <c r="G10" s="166">
        <f>'CAC Inc Stmt'!G10+'AL Inc Stmt'!G10+'ESL Inc Stmt'!G10</f>
        <v>1455</v>
      </c>
      <c r="H10" s="83">
        <f>'CAC Inc Stmt'!H10+'AL Inc Stmt'!H10+'ESL Inc Stmt'!H10</f>
        <v>160</v>
      </c>
      <c r="I10" s="83">
        <f>'CAC Inc Stmt'!I10+'AL Inc Stmt'!I10+'ESL Inc Stmt'!I10</f>
        <v>525</v>
      </c>
      <c r="J10" s="83">
        <f>'CAC Inc Stmt'!J10+'AL Inc Stmt'!J10+'ESL Inc Stmt'!J10</f>
        <v>538</v>
      </c>
      <c r="K10" s="15">
        <f>'CAC Inc Stmt'!K10+'AL Inc Stmt'!K10+'ESL Inc Stmt'!K10</f>
        <v>648</v>
      </c>
      <c r="L10" s="167">
        <f>'CAC Inc Stmt'!L10+'AL Inc Stmt'!L10+'ESL Inc Stmt'!L10</f>
        <v>160</v>
      </c>
      <c r="M10" s="148">
        <f>'CAC Inc Stmt'!M10+'AL Inc Stmt'!M10+'ESL Inc Stmt'!M10</f>
        <v>365</v>
      </c>
      <c r="N10" s="148">
        <f>'CAC Inc Stmt'!N10+'AL Inc Stmt'!N10+'ESL Inc Stmt'!N10</f>
        <v>13</v>
      </c>
      <c r="O10" s="148">
        <f>'CAC Inc Stmt'!O10+'AL Inc Stmt'!O10+'ESL Inc Stmt'!O10</f>
        <v>110</v>
      </c>
      <c r="P10" s="150">
        <f>'CAC Inc Stmt'!P10+'AL Inc Stmt'!P10+'ESL Inc Stmt'!P10</f>
        <v>648</v>
      </c>
      <c r="Q10" s="151">
        <f>'CAC Inc Stmt'!Q10+'AL Inc Stmt'!Q10+'ESL Inc Stmt'!Q10</f>
        <v>1455</v>
      </c>
      <c r="R10" s="152">
        <f t="shared" ref="R10:R17" si="2">P10-Q10</f>
        <v>-807</v>
      </c>
      <c r="S10" s="168">
        <f t="shared" si="0"/>
        <v>0.44536082474226807</v>
      </c>
      <c r="T10" s="154">
        <f t="shared" ref="T10:T17" si="3">P10-G10</f>
        <v>-807</v>
      </c>
      <c r="U10" s="169">
        <f t="shared" si="1"/>
        <v>0.44536082474226807</v>
      </c>
    </row>
    <row r="11" spans="1:21" outlineLevel="1" x14ac:dyDescent="0.2">
      <c r="C11" s="116" t="s">
        <v>413</v>
      </c>
      <c r="F11" s="156"/>
      <c r="G11" s="166">
        <f>'CAC Inc Stmt'!G11+'AL Inc Stmt'!G11+'ESL Inc Stmt'!G11</f>
        <v>0</v>
      </c>
      <c r="H11" s="83">
        <f>'CAC Inc Stmt'!H11+'AL Inc Stmt'!H11+'ESL Inc Stmt'!H11</f>
        <v>0</v>
      </c>
      <c r="I11" s="83">
        <f>'CAC Inc Stmt'!I11+'AL Inc Stmt'!I11+'ESL Inc Stmt'!I11</f>
        <v>0</v>
      </c>
      <c r="J11" s="83">
        <f>'CAC Inc Stmt'!J11+'AL Inc Stmt'!J11+'ESL Inc Stmt'!J11</f>
        <v>0</v>
      </c>
      <c r="K11" s="15">
        <f>'CAC Inc Stmt'!K11+'AL Inc Stmt'!K11+'ESL Inc Stmt'!K11</f>
        <v>0</v>
      </c>
      <c r="L11" s="167">
        <f>'CAC Inc Stmt'!L11+'AL Inc Stmt'!L11+'ESL Inc Stmt'!L11</f>
        <v>0</v>
      </c>
      <c r="M11" s="148">
        <f>'CAC Inc Stmt'!M11+'AL Inc Stmt'!M11+'ESL Inc Stmt'!M11</f>
        <v>0</v>
      </c>
      <c r="N11" s="148">
        <f>'CAC Inc Stmt'!N11+'AL Inc Stmt'!N11+'ESL Inc Stmt'!N11</f>
        <v>0</v>
      </c>
      <c r="O11" s="148">
        <f>'CAC Inc Stmt'!O11+'AL Inc Stmt'!O11+'ESL Inc Stmt'!O11</f>
        <v>0</v>
      </c>
      <c r="P11" s="150">
        <f>'CAC Inc Stmt'!P11+'AL Inc Stmt'!P11+'ESL Inc Stmt'!P11</f>
        <v>0</v>
      </c>
      <c r="Q11" s="151">
        <f>'CAC Inc Stmt'!Q11+'AL Inc Stmt'!Q11+'ESL Inc Stmt'!Q11</f>
        <v>0</v>
      </c>
      <c r="R11" s="152">
        <f t="shared" si="2"/>
        <v>0</v>
      </c>
      <c r="S11" s="168" t="str">
        <f t="shared" si="0"/>
        <v/>
      </c>
      <c r="T11" s="154">
        <f t="shared" si="3"/>
        <v>0</v>
      </c>
      <c r="U11" s="169" t="str">
        <f t="shared" si="1"/>
        <v/>
      </c>
    </row>
    <row r="12" spans="1:21" outlineLevel="1" x14ac:dyDescent="0.2">
      <c r="C12" s="116" t="s">
        <v>252</v>
      </c>
      <c r="F12" s="156"/>
      <c r="G12" s="166">
        <f>'CAC Inc Stmt'!G12+'AL Inc Stmt'!G12+'ESL Inc Stmt'!G12</f>
        <v>8972</v>
      </c>
      <c r="H12" s="83">
        <f>'CAC Inc Stmt'!H12+'AL Inc Stmt'!H12+'ESL Inc Stmt'!H12</f>
        <v>810</v>
      </c>
      <c r="I12" s="83">
        <f>'CAC Inc Stmt'!I12+'AL Inc Stmt'!I12+'ESL Inc Stmt'!I12</f>
        <v>3363</v>
      </c>
      <c r="J12" s="83">
        <f>'CAC Inc Stmt'!J12+'AL Inc Stmt'!J12+'ESL Inc Stmt'!J12</f>
        <v>3770</v>
      </c>
      <c r="K12" s="15">
        <f>'CAC Inc Stmt'!K12+'AL Inc Stmt'!K12+'ESL Inc Stmt'!K12</f>
        <v>3928</v>
      </c>
      <c r="L12" s="167">
        <f>'CAC Inc Stmt'!L12+'AL Inc Stmt'!L12+'ESL Inc Stmt'!L12</f>
        <v>810</v>
      </c>
      <c r="M12" s="148">
        <f>'CAC Inc Stmt'!M12+'AL Inc Stmt'!M12+'ESL Inc Stmt'!M12</f>
        <v>2553</v>
      </c>
      <c r="N12" s="148">
        <f>'CAC Inc Stmt'!N12+'AL Inc Stmt'!N12+'ESL Inc Stmt'!N12</f>
        <v>407</v>
      </c>
      <c r="O12" s="148">
        <f>'CAC Inc Stmt'!O12+'AL Inc Stmt'!O12+'ESL Inc Stmt'!O12</f>
        <v>158</v>
      </c>
      <c r="P12" s="150">
        <f>'CAC Inc Stmt'!P12+'AL Inc Stmt'!P12+'ESL Inc Stmt'!P12</f>
        <v>3928</v>
      </c>
      <c r="Q12" s="151">
        <f>'CAC Inc Stmt'!Q12+'AL Inc Stmt'!Q12+'ESL Inc Stmt'!Q12</f>
        <v>8972</v>
      </c>
      <c r="R12" s="152">
        <f t="shared" si="2"/>
        <v>-5044</v>
      </c>
      <c r="S12" s="168">
        <f t="shared" si="0"/>
        <v>0.43780650913954527</v>
      </c>
      <c r="T12" s="154">
        <f t="shared" si="3"/>
        <v>-5044</v>
      </c>
      <c r="U12" s="169">
        <f t="shared" si="1"/>
        <v>0.43780650913954527</v>
      </c>
    </row>
    <row r="13" spans="1:21" outlineLevel="1" x14ac:dyDescent="0.2">
      <c r="C13" s="116" t="s">
        <v>253</v>
      </c>
      <c r="F13" s="156"/>
      <c r="G13" s="166">
        <f>'CAC Inc Stmt'!G13+'AL Inc Stmt'!G13+'ESL Inc Stmt'!G13</f>
        <v>12860</v>
      </c>
      <c r="H13" s="83">
        <f>'CAC Inc Stmt'!H13+'AL Inc Stmt'!H13+'ESL Inc Stmt'!H13</f>
        <v>4563</v>
      </c>
      <c r="I13" s="83">
        <f>'CAC Inc Stmt'!I13+'AL Inc Stmt'!I13+'ESL Inc Stmt'!I13</f>
        <v>10268</v>
      </c>
      <c r="J13" s="83">
        <f>'CAC Inc Stmt'!J13+'AL Inc Stmt'!J13+'ESL Inc Stmt'!J13</f>
        <v>12919</v>
      </c>
      <c r="K13" s="15">
        <f>'CAC Inc Stmt'!K13+'AL Inc Stmt'!K13+'ESL Inc Stmt'!K13</f>
        <v>15193</v>
      </c>
      <c r="L13" s="167">
        <f>'CAC Inc Stmt'!L13+'AL Inc Stmt'!L13+'ESL Inc Stmt'!L13</f>
        <v>4563</v>
      </c>
      <c r="M13" s="148">
        <f>'CAC Inc Stmt'!M13+'AL Inc Stmt'!M13+'ESL Inc Stmt'!M13</f>
        <v>5705</v>
      </c>
      <c r="N13" s="148">
        <f>'CAC Inc Stmt'!N13+'AL Inc Stmt'!N13+'ESL Inc Stmt'!N13</f>
        <v>2651</v>
      </c>
      <c r="O13" s="148">
        <f>'CAC Inc Stmt'!O13+'AL Inc Stmt'!O13+'ESL Inc Stmt'!O13</f>
        <v>2274</v>
      </c>
      <c r="P13" s="150">
        <f>'CAC Inc Stmt'!P13+'AL Inc Stmt'!P13+'ESL Inc Stmt'!P13</f>
        <v>15193</v>
      </c>
      <c r="Q13" s="151">
        <f>'CAC Inc Stmt'!Q13+'AL Inc Stmt'!Q13+'ESL Inc Stmt'!Q13</f>
        <v>12860</v>
      </c>
      <c r="R13" s="152">
        <f t="shared" si="2"/>
        <v>2333</v>
      </c>
      <c r="S13" s="168">
        <f t="shared" si="0"/>
        <v>1.1814152410575427</v>
      </c>
      <c r="T13" s="154">
        <f t="shared" si="3"/>
        <v>2333</v>
      </c>
      <c r="U13" s="169">
        <f t="shared" si="1"/>
        <v>1.1814152410575427</v>
      </c>
    </row>
    <row r="14" spans="1:21" outlineLevel="1" x14ac:dyDescent="0.2">
      <c r="C14" s="116" t="s">
        <v>0</v>
      </c>
      <c r="F14" s="156">
        <v>5490</v>
      </c>
      <c r="G14" s="166">
        <f>'CAC Inc Stmt'!G14+'AL Inc Stmt'!G14+'ESL Inc Stmt'!G14</f>
        <v>896.78</v>
      </c>
      <c r="H14" s="83">
        <f>'CAC Inc Stmt'!H14+'AL Inc Stmt'!H14+'ESL Inc Stmt'!H14</f>
        <v>391</v>
      </c>
      <c r="I14" s="83">
        <f>'CAC Inc Stmt'!I14+'AL Inc Stmt'!I14+'ESL Inc Stmt'!I14</f>
        <v>599</v>
      </c>
      <c r="J14" s="83">
        <f>'CAC Inc Stmt'!J14+'AL Inc Stmt'!J14+'ESL Inc Stmt'!J14</f>
        <v>954</v>
      </c>
      <c r="K14" s="15">
        <f>'CAC Inc Stmt'!K14+'AL Inc Stmt'!K14+'ESL Inc Stmt'!K14</f>
        <v>957</v>
      </c>
      <c r="L14" s="167">
        <f>'CAC Inc Stmt'!L14+'AL Inc Stmt'!L14+'ESL Inc Stmt'!L14</f>
        <v>391</v>
      </c>
      <c r="M14" s="148">
        <f>'CAC Inc Stmt'!M14+'AL Inc Stmt'!M14+'ESL Inc Stmt'!M14</f>
        <v>208</v>
      </c>
      <c r="N14" s="148">
        <f>'CAC Inc Stmt'!N14+'AL Inc Stmt'!N14+'ESL Inc Stmt'!N14</f>
        <v>355</v>
      </c>
      <c r="O14" s="148">
        <f>'CAC Inc Stmt'!O14+'AL Inc Stmt'!O14+'ESL Inc Stmt'!O14</f>
        <v>3</v>
      </c>
      <c r="P14" s="150">
        <f>'CAC Inc Stmt'!P14+'AL Inc Stmt'!P14+'ESL Inc Stmt'!P14</f>
        <v>957</v>
      </c>
      <c r="Q14" s="151">
        <f>'CAC Inc Stmt'!Q14+'AL Inc Stmt'!Q14+'ESL Inc Stmt'!Q14</f>
        <v>896</v>
      </c>
      <c r="R14" s="152">
        <f t="shared" si="2"/>
        <v>61</v>
      </c>
      <c r="S14" s="168">
        <f t="shared" si="0"/>
        <v>1.0680803571428572</v>
      </c>
      <c r="T14" s="154">
        <f t="shared" si="3"/>
        <v>60.220000000000027</v>
      </c>
      <c r="U14" s="169">
        <f t="shared" si="1"/>
        <v>1.0671513637681482</v>
      </c>
    </row>
    <row r="15" spans="1:21" outlineLevel="1" x14ac:dyDescent="0.2">
      <c r="C15" s="242" t="s">
        <v>415</v>
      </c>
      <c r="F15" s="156"/>
      <c r="G15" s="166">
        <f>'CAC Inc Stmt'!G15+'AL Inc Stmt'!G15+'ESL Inc Stmt'!G15</f>
        <v>13675</v>
      </c>
      <c r="H15" s="83">
        <f>'CAC Inc Stmt'!H15+'AL Inc Stmt'!H15+'ESL Inc Stmt'!H15</f>
        <v>4538</v>
      </c>
      <c r="I15" s="83">
        <f>'CAC Inc Stmt'!I15+'AL Inc Stmt'!I15+'ESL Inc Stmt'!I15</f>
        <v>12098</v>
      </c>
      <c r="J15" s="83">
        <f>'CAC Inc Stmt'!J15+'AL Inc Stmt'!J15+'ESL Inc Stmt'!J15</f>
        <v>15734</v>
      </c>
      <c r="K15" s="15">
        <f>'CAC Inc Stmt'!K15+'AL Inc Stmt'!K15+'ESL Inc Stmt'!K15</f>
        <v>17865</v>
      </c>
      <c r="L15" s="167">
        <f>'CAC Inc Stmt'!L15+'AL Inc Stmt'!L15+'ESL Inc Stmt'!L15</f>
        <v>4538</v>
      </c>
      <c r="M15" s="148">
        <f>'CAC Inc Stmt'!M15+'AL Inc Stmt'!M15+'ESL Inc Stmt'!M15</f>
        <v>7560</v>
      </c>
      <c r="N15" s="148">
        <f>'CAC Inc Stmt'!N15+'AL Inc Stmt'!N15+'ESL Inc Stmt'!N15</f>
        <v>3636</v>
      </c>
      <c r="O15" s="148">
        <f>'CAC Inc Stmt'!O15+'AL Inc Stmt'!O15+'ESL Inc Stmt'!O15</f>
        <v>2131</v>
      </c>
      <c r="P15" s="150">
        <f>'CAC Inc Stmt'!P15+'AL Inc Stmt'!P15+'ESL Inc Stmt'!P15</f>
        <v>17865</v>
      </c>
      <c r="Q15" s="151">
        <f>'CAC Inc Stmt'!Q15+'AL Inc Stmt'!Q15+'ESL Inc Stmt'!Q15</f>
        <v>13675</v>
      </c>
      <c r="R15" s="152">
        <f t="shared" si="2"/>
        <v>4190</v>
      </c>
      <c r="S15" s="168">
        <f t="shared" si="0"/>
        <v>1.3063985374771481</v>
      </c>
      <c r="T15" s="154">
        <f t="shared" si="3"/>
        <v>4190</v>
      </c>
      <c r="U15" s="169">
        <f t="shared" si="1"/>
        <v>1.3063985374771481</v>
      </c>
    </row>
    <row r="16" spans="1:21" outlineLevel="1" x14ac:dyDescent="0.2">
      <c r="F16" s="156"/>
      <c r="G16" s="166">
        <f>'CAC Inc Stmt'!G16+'AL Inc Stmt'!G16+'ESL Inc Stmt'!G16</f>
        <v>0</v>
      </c>
      <c r="H16" s="83">
        <f>'CAC Inc Stmt'!H16+'AL Inc Stmt'!H16+'ESL Inc Stmt'!H16</f>
        <v>0</v>
      </c>
      <c r="I16" s="83">
        <f>'CAC Inc Stmt'!I16+'AL Inc Stmt'!I16+'ESL Inc Stmt'!I16</f>
        <v>0</v>
      </c>
      <c r="J16" s="83">
        <f>'CAC Inc Stmt'!J16+'AL Inc Stmt'!J16+'ESL Inc Stmt'!J16</f>
        <v>0</v>
      </c>
      <c r="K16" s="15">
        <f>'CAC Inc Stmt'!K16+'AL Inc Stmt'!K16+'ESL Inc Stmt'!K16</f>
        <v>0</v>
      </c>
      <c r="L16" s="167">
        <f>'CAC Inc Stmt'!L16+'AL Inc Stmt'!L16+'ESL Inc Stmt'!L16</f>
        <v>0</v>
      </c>
      <c r="M16" s="148">
        <f>'CAC Inc Stmt'!M16+'AL Inc Stmt'!M16+'ESL Inc Stmt'!M16</f>
        <v>0</v>
      </c>
      <c r="N16" s="148">
        <f>'CAC Inc Stmt'!N16+'AL Inc Stmt'!N16+'ESL Inc Stmt'!N16</f>
        <v>0</v>
      </c>
      <c r="O16" s="148">
        <f>'CAC Inc Stmt'!O16+'AL Inc Stmt'!O16+'ESL Inc Stmt'!O16</f>
        <v>0</v>
      </c>
      <c r="P16" s="150">
        <f>'CAC Inc Stmt'!P16+'AL Inc Stmt'!P16+'ESL Inc Stmt'!P16</f>
        <v>0</v>
      </c>
      <c r="Q16" s="151">
        <f>'CAC Inc Stmt'!Q16+'AL Inc Stmt'!Q16+'ESL Inc Stmt'!Q16</f>
        <v>0</v>
      </c>
      <c r="R16" s="152">
        <f t="shared" si="2"/>
        <v>0</v>
      </c>
      <c r="S16" s="168" t="str">
        <f t="shared" si="0"/>
        <v/>
      </c>
      <c r="T16" s="154">
        <f t="shared" si="3"/>
        <v>0</v>
      </c>
      <c r="U16" s="169" t="str">
        <f t="shared" si="1"/>
        <v/>
      </c>
    </row>
    <row r="17" spans="2:21" outlineLevel="1" x14ac:dyDescent="0.2">
      <c r="F17" s="156"/>
      <c r="G17" s="166">
        <f>'CAC Inc Stmt'!G17+'AL Inc Stmt'!G17+'ESL Inc Stmt'!G17</f>
        <v>0</v>
      </c>
      <c r="H17" s="83">
        <f>'CAC Inc Stmt'!H17+'AL Inc Stmt'!H17+'ESL Inc Stmt'!H17</f>
        <v>0</v>
      </c>
      <c r="I17" s="83">
        <f>'CAC Inc Stmt'!I17+'AL Inc Stmt'!I17+'ESL Inc Stmt'!I17</f>
        <v>0</v>
      </c>
      <c r="J17" s="83">
        <f>'CAC Inc Stmt'!J17+'AL Inc Stmt'!J17+'ESL Inc Stmt'!J17</f>
        <v>0</v>
      </c>
      <c r="K17" s="15">
        <f>'CAC Inc Stmt'!K17+'AL Inc Stmt'!K17+'ESL Inc Stmt'!K17</f>
        <v>0</v>
      </c>
      <c r="L17" s="167">
        <f>'CAC Inc Stmt'!L17+'AL Inc Stmt'!L17+'ESL Inc Stmt'!L17</f>
        <v>0</v>
      </c>
      <c r="M17" s="148">
        <f>'CAC Inc Stmt'!M17+'AL Inc Stmt'!M17+'ESL Inc Stmt'!M17</f>
        <v>0</v>
      </c>
      <c r="N17" s="148">
        <f>'CAC Inc Stmt'!N17+'AL Inc Stmt'!N17+'ESL Inc Stmt'!N17</f>
        <v>0</v>
      </c>
      <c r="O17" s="148">
        <f>'CAC Inc Stmt'!O17+'AL Inc Stmt'!O17+'ESL Inc Stmt'!O17</f>
        <v>0</v>
      </c>
      <c r="P17" s="150">
        <f>'CAC Inc Stmt'!P17+'AL Inc Stmt'!P17+'ESL Inc Stmt'!P17</f>
        <v>0</v>
      </c>
      <c r="Q17" s="151">
        <f>'CAC Inc Stmt'!Q17+'AL Inc Stmt'!Q17+'ESL Inc Stmt'!Q17</f>
        <v>0</v>
      </c>
      <c r="R17" s="152">
        <f t="shared" si="2"/>
        <v>0</v>
      </c>
      <c r="S17" s="153"/>
      <c r="T17" s="154">
        <f t="shared" si="3"/>
        <v>0</v>
      </c>
      <c r="U17" s="170" t="str">
        <f t="shared" si="1"/>
        <v/>
      </c>
    </row>
    <row r="18" spans="2:21" outlineLevel="1" x14ac:dyDescent="0.2">
      <c r="F18" s="156"/>
      <c r="G18" s="166"/>
      <c r="H18" s="83"/>
      <c r="I18" s="83"/>
      <c r="J18" s="83"/>
      <c r="K18" s="15"/>
      <c r="L18" s="167"/>
      <c r="M18" s="148"/>
      <c r="N18" s="148"/>
      <c r="O18" s="148"/>
      <c r="P18" s="150"/>
      <c r="Q18" s="151"/>
      <c r="R18" s="152"/>
      <c r="S18" s="153"/>
      <c r="T18" s="154"/>
      <c r="U18" s="155"/>
    </row>
    <row r="19" spans="2:21" outlineLevel="1" x14ac:dyDescent="0.2">
      <c r="F19" s="156"/>
      <c r="G19" s="166"/>
      <c r="H19" s="83"/>
      <c r="I19" s="83"/>
      <c r="J19" s="83"/>
      <c r="K19" s="15"/>
      <c r="L19" s="167"/>
      <c r="M19" s="148"/>
      <c r="N19" s="148"/>
      <c r="O19" s="148"/>
      <c r="P19" s="150"/>
      <c r="Q19" s="151"/>
      <c r="R19" s="152"/>
      <c r="S19" s="153"/>
      <c r="T19" s="154"/>
      <c r="U19" s="155"/>
    </row>
    <row r="20" spans="2:21" x14ac:dyDescent="0.2">
      <c r="B20" s="118" t="s">
        <v>4</v>
      </c>
      <c r="F20" s="156"/>
      <c r="G20" s="157">
        <f>'CAC Inc Stmt'!G20+'AL Inc Stmt'!G20+'ESL Inc Stmt'!G20</f>
        <v>72036</v>
      </c>
      <c r="H20" s="84">
        <f>'CAC Inc Stmt'!H20+'AL Inc Stmt'!H20+'ESL Inc Stmt'!H20</f>
        <v>15110.08</v>
      </c>
      <c r="I20" s="84">
        <f>'CAC Inc Stmt'!I20+'AL Inc Stmt'!I20+'ESL Inc Stmt'!I20</f>
        <v>45169</v>
      </c>
      <c r="J20" s="84">
        <f>'CAC Inc Stmt'!J20+'AL Inc Stmt'!J20+'ESL Inc Stmt'!J20</f>
        <v>62605</v>
      </c>
      <c r="K20" s="241">
        <f>'CAC Inc Stmt'!K20+'AL Inc Stmt'!K20+'ESL Inc Stmt'!K20</f>
        <v>88169</v>
      </c>
      <c r="L20" s="159">
        <f>'CAC Inc Stmt'!L20+'AL Inc Stmt'!L20+'ESL Inc Stmt'!L20</f>
        <v>15110.08</v>
      </c>
      <c r="M20" s="158">
        <f>'CAC Inc Stmt'!M20+'AL Inc Stmt'!M20+'ESL Inc Stmt'!M20</f>
        <v>30058.92</v>
      </c>
      <c r="N20" s="158">
        <f>'CAC Inc Stmt'!N20+'AL Inc Stmt'!N20+'ESL Inc Stmt'!N20</f>
        <v>17436</v>
      </c>
      <c r="O20" s="158">
        <f>'CAC Inc Stmt'!O20+'AL Inc Stmt'!O20+'ESL Inc Stmt'!O20</f>
        <v>25564</v>
      </c>
      <c r="P20" s="160">
        <f>'CAC Inc Stmt'!P20+'AL Inc Stmt'!P20+'ESL Inc Stmt'!P20</f>
        <v>88169</v>
      </c>
      <c r="Q20" s="161">
        <f>'CAC Inc Stmt'!Q20+'AL Inc Stmt'!Q20+'ESL Inc Stmt'!Q20</f>
        <v>71800</v>
      </c>
      <c r="R20" s="162">
        <f>SUM(R21:R32)</f>
        <v>16369</v>
      </c>
      <c r="S20" s="163">
        <f t="shared" ref="S20:S31" si="4">IF(Q20=0,"",P20/Q20)</f>
        <v>1.2279805013927576</v>
      </c>
      <c r="T20" s="164">
        <f>SUM(T21:T32)</f>
        <v>16133</v>
      </c>
      <c r="U20" s="165">
        <f t="shared" ref="U20:U28" si="5">IF(G20=0,"",P20/G20)</f>
        <v>1.2239574657115886</v>
      </c>
    </row>
    <row r="21" spans="2:21" outlineLevel="1" x14ac:dyDescent="0.2">
      <c r="C21" s="116" t="s">
        <v>257</v>
      </c>
      <c r="F21" s="156">
        <v>5182</v>
      </c>
      <c r="G21" s="166">
        <f>'CAC Inc Stmt'!G21+'AL Inc Stmt'!G21+'ESL Inc Stmt'!G21</f>
        <v>20809</v>
      </c>
      <c r="H21" s="83">
        <f>'CAC Inc Stmt'!H21+'AL Inc Stmt'!H21+'ESL Inc Stmt'!H21</f>
        <v>2563</v>
      </c>
      <c r="I21" s="83">
        <f>'CAC Inc Stmt'!I21+'AL Inc Stmt'!I21+'ESL Inc Stmt'!I21</f>
        <v>11332</v>
      </c>
      <c r="J21" s="83">
        <f>'CAC Inc Stmt'!J21+'AL Inc Stmt'!J21+'ESL Inc Stmt'!J21</f>
        <v>18393</v>
      </c>
      <c r="K21" s="15">
        <f>'CAC Inc Stmt'!K21+'AL Inc Stmt'!K21+'ESL Inc Stmt'!K21</f>
        <v>24994</v>
      </c>
      <c r="L21" s="167">
        <f>'CAC Inc Stmt'!L21+'AL Inc Stmt'!L21+'ESL Inc Stmt'!L21</f>
        <v>2563</v>
      </c>
      <c r="M21" s="148">
        <f>'CAC Inc Stmt'!M21+'AL Inc Stmt'!M21+'ESL Inc Stmt'!M21</f>
        <v>8769</v>
      </c>
      <c r="N21" s="148">
        <f>'CAC Inc Stmt'!N21+'AL Inc Stmt'!N21+'ESL Inc Stmt'!N21</f>
        <v>7061</v>
      </c>
      <c r="O21" s="148">
        <f>'CAC Inc Stmt'!O21+'AL Inc Stmt'!O21+'ESL Inc Stmt'!O21</f>
        <v>6601</v>
      </c>
      <c r="P21" s="150">
        <f>'CAC Inc Stmt'!P21+'AL Inc Stmt'!P21+'ESL Inc Stmt'!P21</f>
        <v>24994</v>
      </c>
      <c r="Q21" s="151">
        <f>'CAC Inc Stmt'!Q21+'AL Inc Stmt'!Q21+'ESL Inc Stmt'!Q21</f>
        <v>20000</v>
      </c>
      <c r="R21" s="152">
        <f t="shared" ref="R21:R31" si="6">P21-Q21</f>
        <v>4994</v>
      </c>
      <c r="S21" s="168">
        <f t="shared" si="4"/>
        <v>1.2497</v>
      </c>
      <c r="T21" s="154">
        <f t="shared" ref="T21:T31" si="7">P21-G21</f>
        <v>4185</v>
      </c>
      <c r="U21" s="169">
        <f t="shared" si="5"/>
        <v>1.2011149022057763</v>
      </c>
    </row>
    <row r="22" spans="2:21" outlineLevel="1" x14ac:dyDescent="0.2">
      <c r="C22" s="116" t="s">
        <v>256</v>
      </c>
      <c r="F22" s="156">
        <v>5181</v>
      </c>
      <c r="G22" s="166">
        <f>'CAC Inc Stmt'!G22+'AL Inc Stmt'!G22+'ESL Inc Stmt'!G22</f>
        <v>33069</v>
      </c>
      <c r="H22" s="83">
        <f>'CAC Inc Stmt'!H22+'AL Inc Stmt'!H22+'ESL Inc Stmt'!H22</f>
        <v>6668</v>
      </c>
      <c r="I22" s="83">
        <f>'CAC Inc Stmt'!I22+'AL Inc Stmt'!I22+'ESL Inc Stmt'!I22</f>
        <v>21276</v>
      </c>
      <c r="J22" s="83">
        <f>'CAC Inc Stmt'!J22+'AL Inc Stmt'!J22+'ESL Inc Stmt'!J22</f>
        <v>26722</v>
      </c>
      <c r="K22" s="15">
        <f>'CAC Inc Stmt'!K22+'AL Inc Stmt'!K22+'ESL Inc Stmt'!K22</f>
        <v>43548</v>
      </c>
      <c r="L22" s="167">
        <f>'CAC Inc Stmt'!L22+'AL Inc Stmt'!L22+'ESL Inc Stmt'!L22</f>
        <v>6668</v>
      </c>
      <c r="M22" s="148">
        <f>'CAC Inc Stmt'!M22+'AL Inc Stmt'!M22+'ESL Inc Stmt'!M22</f>
        <v>14608</v>
      </c>
      <c r="N22" s="148">
        <f>'CAC Inc Stmt'!N22+'AL Inc Stmt'!N22+'ESL Inc Stmt'!N22</f>
        <v>5446</v>
      </c>
      <c r="O22" s="148">
        <f>'CAC Inc Stmt'!O22+'AL Inc Stmt'!O22+'ESL Inc Stmt'!O22</f>
        <v>16826</v>
      </c>
      <c r="P22" s="150">
        <f>'CAC Inc Stmt'!P22+'AL Inc Stmt'!P22+'ESL Inc Stmt'!P22</f>
        <v>43548</v>
      </c>
      <c r="Q22" s="151">
        <f>'CAC Inc Stmt'!Q22+'AL Inc Stmt'!Q22+'ESL Inc Stmt'!Q22</f>
        <v>33000</v>
      </c>
      <c r="R22" s="152">
        <f t="shared" si="6"/>
        <v>10548</v>
      </c>
      <c r="S22" s="168">
        <f t="shared" si="4"/>
        <v>1.3196363636363637</v>
      </c>
      <c r="T22" s="154">
        <f t="shared" si="7"/>
        <v>10479</v>
      </c>
      <c r="U22" s="169">
        <f t="shared" si="5"/>
        <v>1.3168828812482991</v>
      </c>
    </row>
    <row r="23" spans="2:21" outlineLevel="1" x14ac:dyDescent="0.2">
      <c r="C23" s="116" t="s">
        <v>258</v>
      </c>
      <c r="F23" s="156" t="s">
        <v>131</v>
      </c>
      <c r="G23" s="166">
        <f>'CAC Inc Stmt'!G23+'AL Inc Stmt'!G23+'ESL Inc Stmt'!G23</f>
        <v>10580</v>
      </c>
      <c r="H23" s="83">
        <f>'CAC Inc Stmt'!H23+'AL Inc Stmt'!H23+'ESL Inc Stmt'!H23</f>
        <v>4780</v>
      </c>
      <c r="I23" s="83">
        <f>'CAC Inc Stmt'!I23+'AL Inc Stmt'!I23+'ESL Inc Stmt'!I23</f>
        <v>8679</v>
      </c>
      <c r="J23" s="83">
        <f>'CAC Inc Stmt'!J23+'AL Inc Stmt'!J23+'ESL Inc Stmt'!J23</f>
        <v>12851</v>
      </c>
      <c r="K23" s="15">
        <f>'CAC Inc Stmt'!K23+'AL Inc Stmt'!K23+'ESL Inc Stmt'!K23</f>
        <v>13919</v>
      </c>
      <c r="L23" s="167">
        <f>'CAC Inc Stmt'!L23+'AL Inc Stmt'!L23+'ESL Inc Stmt'!L23</f>
        <v>4780</v>
      </c>
      <c r="M23" s="148">
        <f>'CAC Inc Stmt'!M23+'AL Inc Stmt'!M23+'ESL Inc Stmt'!M23</f>
        <v>3899</v>
      </c>
      <c r="N23" s="148">
        <f>'CAC Inc Stmt'!N23+'AL Inc Stmt'!N23+'ESL Inc Stmt'!N23</f>
        <v>4172</v>
      </c>
      <c r="O23" s="148">
        <f>'CAC Inc Stmt'!O23+'AL Inc Stmt'!O23+'ESL Inc Stmt'!O23</f>
        <v>1068</v>
      </c>
      <c r="P23" s="150">
        <f>'CAC Inc Stmt'!P23+'AL Inc Stmt'!P23+'ESL Inc Stmt'!P23</f>
        <v>13919</v>
      </c>
      <c r="Q23" s="151">
        <f>'CAC Inc Stmt'!Q23+'AL Inc Stmt'!Q23+'ESL Inc Stmt'!Q23</f>
        <v>11000</v>
      </c>
      <c r="R23" s="152">
        <f t="shared" si="6"/>
        <v>2919</v>
      </c>
      <c r="S23" s="168">
        <f t="shared" si="4"/>
        <v>1.2653636363636365</v>
      </c>
      <c r="T23" s="154">
        <f t="shared" si="7"/>
        <v>3339</v>
      </c>
      <c r="U23" s="169">
        <f t="shared" si="5"/>
        <v>1.3155954631379962</v>
      </c>
    </row>
    <row r="24" spans="2:21" outlineLevel="1" x14ac:dyDescent="0.2">
      <c r="C24" s="116" t="s">
        <v>72</v>
      </c>
      <c r="F24" s="156" t="s">
        <v>132</v>
      </c>
      <c r="G24" s="166">
        <f>'CAC Inc Stmt'!G24+'AL Inc Stmt'!G24+'ESL Inc Stmt'!G24</f>
        <v>500</v>
      </c>
      <c r="H24" s="83">
        <f>'CAC Inc Stmt'!H24+'AL Inc Stmt'!H24+'ESL Inc Stmt'!H24</f>
        <v>275</v>
      </c>
      <c r="I24" s="83">
        <f>'CAC Inc Stmt'!I24+'AL Inc Stmt'!I24+'ESL Inc Stmt'!I24</f>
        <v>275</v>
      </c>
      <c r="J24" s="83">
        <f>'CAC Inc Stmt'!J24+'AL Inc Stmt'!J24+'ESL Inc Stmt'!J24</f>
        <v>275</v>
      </c>
      <c r="K24" s="15">
        <f>'CAC Inc Stmt'!K24+'AL Inc Stmt'!K24+'ESL Inc Stmt'!K24</f>
        <v>275</v>
      </c>
      <c r="L24" s="167">
        <f>'CAC Inc Stmt'!L24+'AL Inc Stmt'!L24+'ESL Inc Stmt'!L24</f>
        <v>275</v>
      </c>
      <c r="M24" s="148">
        <f>'CAC Inc Stmt'!M24+'AL Inc Stmt'!M24+'ESL Inc Stmt'!M24</f>
        <v>0</v>
      </c>
      <c r="N24" s="148">
        <f>'CAC Inc Stmt'!N24+'AL Inc Stmt'!N24+'ESL Inc Stmt'!N24</f>
        <v>0</v>
      </c>
      <c r="O24" s="148">
        <f>'CAC Inc Stmt'!O24+'AL Inc Stmt'!O24+'ESL Inc Stmt'!O24</f>
        <v>0</v>
      </c>
      <c r="P24" s="150">
        <f>'CAC Inc Stmt'!P24+'AL Inc Stmt'!P24+'ESL Inc Stmt'!P24</f>
        <v>275</v>
      </c>
      <c r="Q24" s="151">
        <f>'CAC Inc Stmt'!Q24+'AL Inc Stmt'!Q24+'ESL Inc Stmt'!Q24</f>
        <v>0</v>
      </c>
      <c r="R24" s="152">
        <f t="shared" si="6"/>
        <v>275</v>
      </c>
      <c r="S24" s="168" t="str">
        <f t="shared" si="4"/>
        <v/>
      </c>
      <c r="T24" s="154">
        <f t="shared" si="7"/>
        <v>-225</v>
      </c>
      <c r="U24" s="169">
        <f t="shared" si="5"/>
        <v>0.55000000000000004</v>
      </c>
    </row>
    <row r="25" spans="2:21" outlineLevel="1" x14ac:dyDescent="0.2">
      <c r="C25" s="116" t="s">
        <v>264</v>
      </c>
      <c r="F25" s="156" t="s">
        <v>133</v>
      </c>
      <c r="G25" s="166">
        <f>'CAC Inc Stmt'!G25+'AL Inc Stmt'!G25+'ESL Inc Stmt'!G25</f>
        <v>5790</v>
      </c>
      <c r="H25" s="83">
        <f>'CAC Inc Stmt'!H25+'AL Inc Stmt'!H25+'ESL Inc Stmt'!H25</f>
        <v>640</v>
      </c>
      <c r="I25" s="83">
        <f>'CAC Inc Stmt'!I25+'AL Inc Stmt'!I25+'ESL Inc Stmt'!I25</f>
        <v>2900</v>
      </c>
      <c r="J25" s="83">
        <f>'CAC Inc Stmt'!J25+'AL Inc Stmt'!J25+'ESL Inc Stmt'!J25</f>
        <v>3460</v>
      </c>
      <c r="K25" s="15">
        <f>'CAC Inc Stmt'!K25+'AL Inc Stmt'!K25+'ESL Inc Stmt'!K25</f>
        <v>4415</v>
      </c>
      <c r="L25" s="167">
        <f>'CAC Inc Stmt'!L25+'AL Inc Stmt'!L25+'ESL Inc Stmt'!L25</f>
        <v>640</v>
      </c>
      <c r="M25" s="148">
        <f>'CAC Inc Stmt'!M25+'AL Inc Stmt'!M25+'ESL Inc Stmt'!M25</f>
        <v>2260</v>
      </c>
      <c r="N25" s="148">
        <f>'CAC Inc Stmt'!N25+'AL Inc Stmt'!N25+'ESL Inc Stmt'!N25</f>
        <v>560</v>
      </c>
      <c r="O25" s="148">
        <f>'CAC Inc Stmt'!O25+'AL Inc Stmt'!O25+'ESL Inc Stmt'!O25</f>
        <v>955</v>
      </c>
      <c r="P25" s="150">
        <f>'CAC Inc Stmt'!P25+'AL Inc Stmt'!P25+'ESL Inc Stmt'!P25</f>
        <v>4415</v>
      </c>
      <c r="Q25" s="151">
        <f>'CAC Inc Stmt'!Q25+'AL Inc Stmt'!Q25+'ESL Inc Stmt'!Q25</f>
        <v>6300</v>
      </c>
      <c r="R25" s="152">
        <f t="shared" si="6"/>
        <v>-1885</v>
      </c>
      <c r="S25" s="168">
        <f t="shared" si="4"/>
        <v>0.70079365079365075</v>
      </c>
      <c r="T25" s="154">
        <f t="shared" si="7"/>
        <v>-1375</v>
      </c>
      <c r="U25" s="169">
        <f t="shared" si="5"/>
        <v>0.76252158894645938</v>
      </c>
    </row>
    <row r="26" spans="2:21" outlineLevel="1" x14ac:dyDescent="0.2">
      <c r="C26" s="116" t="s">
        <v>122</v>
      </c>
      <c r="F26" s="156" t="s">
        <v>130</v>
      </c>
      <c r="G26" s="166">
        <f>'CAC Inc Stmt'!G26+'AL Inc Stmt'!G26+'ESL Inc Stmt'!G26</f>
        <v>489</v>
      </c>
      <c r="H26" s="83">
        <f>'CAC Inc Stmt'!H26+'AL Inc Stmt'!H26+'ESL Inc Stmt'!H26</f>
        <v>180</v>
      </c>
      <c r="I26" s="83">
        <f>'CAC Inc Stmt'!I26+'AL Inc Stmt'!I26+'ESL Inc Stmt'!I26</f>
        <v>325</v>
      </c>
      <c r="J26" s="83">
        <f>'CAC Inc Stmt'!J26+'AL Inc Stmt'!J26+'ESL Inc Stmt'!J26</f>
        <v>369</v>
      </c>
      <c r="K26" s="15">
        <f>'CAC Inc Stmt'!K26+'AL Inc Stmt'!K26+'ESL Inc Stmt'!K26</f>
        <v>723</v>
      </c>
      <c r="L26" s="167">
        <f>'CAC Inc Stmt'!L26+'AL Inc Stmt'!L26+'ESL Inc Stmt'!L26</f>
        <v>180</v>
      </c>
      <c r="M26" s="148">
        <f>'CAC Inc Stmt'!M26+'AL Inc Stmt'!M26+'ESL Inc Stmt'!M26</f>
        <v>145</v>
      </c>
      <c r="N26" s="148">
        <f>'CAC Inc Stmt'!N26+'AL Inc Stmt'!N26+'ESL Inc Stmt'!N26</f>
        <v>44</v>
      </c>
      <c r="O26" s="148">
        <f>'CAC Inc Stmt'!O26+'AL Inc Stmt'!O26+'ESL Inc Stmt'!O26</f>
        <v>354</v>
      </c>
      <c r="P26" s="150">
        <f>'CAC Inc Stmt'!P26+'AL Inc Stmt'!P26+'ESL Inc Stmt'!P26</f>
        <v>723</v>
      </c>
      <c r="Q26" s="151">
        <f>'CAC Inc Stmt'!Q26+'AL Inc Stmt'!Q26+'ESL Inc Stmt'!Q26</f>
        <v>500</v>
      </c>
      <c r="R26" s="152">
        <f t="shared" si="6"/>
        <v>223</v>
      </c>
      <c r="S26" s="168">
        <f t="shared" si="4"/>
        <v>1.446</v>
      </c>
      <c r="T26" s="154">
        <f t="shared" si="7"/>
        <v>234</v>
      </c>
      <c r="U26" s="169">
        <f t="shared" si="5"/>
        <v>1.4785276073619631</v>
      </c>
    </row>
    <row r="27" spans="2:21" outlineLevel="1" x14ac:dyDescent="0.2">
      <c r="C27" s="116" t="s">
        <v>123</v>
      </c>
      <c r="F27" s="156" t="s">
        <v>7</v>
      </c>
      <c r="G27" s="166">
        <f>'CAC Inc Stmt'!G27+'AL Inc Stmt'!G27+'ESL Inc Stmt'!G27</f>
        <v>737</v>
      </c>
      <c r="H27" s="83">
        <f>'CAC Inc Stmt'!H27+'AL Inc Stmt'!H27+'ESL Inc Stmt'!H27</f>
        <v>4.08</v>
      </c>
      <c r="I27" s="83">
        <f>'CAC Inc Stmt'!I27+'AL Inc Stmt'!I27+'ESL Inc Stmt'!I27</f>
        <v>382</v>
      </c>
      <c r="J27" s="83">
        <f>'CAC Inc Stmt'!J27+'AL Inc Stmt'!J27+'ESL Inc Stmt'!J27</f>
        <v>535</v>
      </c>
      <c r="K27" s="15">
        <f>'CAC Inc Stmt'!K27+'AL Inc Stmt'!K27+'ESL Inc Stmt'!K27</f>
        <v>295</v>
      </c>
      <c r="L27" s="167">
        <f>'CAC Inc Stmt'!L27+'AL Inc Stmt'!L27+'ESL Inc Stmt'!L27</f>
        <v>4.08</v>
      </c>
      <c r="M27" s="148">
        <f>'CAC Inc Stmt'!M27+'AL Inc Stmt'!M27+'ESL Inc Stmt'!M27</f>
        <v>377.92</v>
      </c>
      <c r="N27" s="148">
        <f>'CAC Inc Stmt'!N27+'AL Inc Stmt'!N27+'ESL Inc Stmt'!N27</f>
        <v>153</v>
      </c>
      <c r="O27" s="148">
        <f>'CAC Inc Stmt'!O27+'AL Inc Stmt'!O27+'ESL Inc Stmt'!O27</f>
        <v>-240</v>
      </c>
      <c r="P27" s="150">
        <f>'CAC Inc Stmt'!P27+'AL Inc Stmt'!P27+'ESL Inc Stmt'!P27</f>
        <v>295</v>
      </c>
      <c r="Q27" s="151">
        <f>'CAC Inc Stmt'!Q27+'AL Inc Stmt'!Q27+'ESL Inc Stmt'!Q27</f>
        <v>1000</v>
      </c>
      <c r="R27" s="152">
        <f t="shared" si="6"/>
        <v>-705</v>
      </c>
      <c r="S27" s="168">
        <f t="shared" si="4"/>
        <v>0.29499999999999998</v>
      </c>
      <c r="T27" s="154">
        <f t="shared" si="7"/>
        <v>-442</v>
      </c>
      <c r="U27" s="169">
        <f t="shared" si="5"/>
        <v>0.40027137042062416</v>
      </c>
    </row>
    <row r="28" spans="2:21" outlineLevel="1" x14ac:dyDescent="0.2">
      <c r="C28" s="116" t="s">
        <v>0</v>
      </c>
      <c r="F28" s="156">
        <v>5490</v>
      </c>
      <c r="G28" s="166">
        <f>'CAC Inc Stmt'!G28+'AL Inc Stmt'!G28+'ESL Inc Stmt'!G28</f>
        <v>62</v>
      </c>
      <c r="H28" s="83">
        <f>'CAC Inc Stmt'!H28+'AL Inc Stmt'!H28+'ESL Inc Stmt'!H28</f>
        <v>0</v>
      </c>
      <c r="I28" s="83">
        <f>'CAC Inc Stmt'!I28+'AL Inc Stmt'!I28+'ESL Inc Stmt'!I28</f>
        <v>0</v>
      </c>
      <c r="J28" s="83">
        <f>'CAC Inc Stmt'!J28+'AL Inc Stmt'!J28+'ESL Inc Stmt'!J28</f>
        <v>0</v>
      </c>
      <c r="K28" s="15">
        <f>'CAC Inc Stmt'!K28+'AL Inc Stmt'!K28+'ESL Inc Stmt'!K28</f>
        <v>0</v>
      </c>
      <c r="L28" s="167">
        <f>'CAC Inc Stmt'!L28+'AL Inc Stmt'!L28+'ESL Inc Stmt'!L28</f>
        <v>0</v>
      </c>
      <c r="M28" s="148">
        <f>'CAC Inc Stmt'!M28+'AL Inc Stmt'!M28+'ESL Inc Stmt'!M28</f>
        <v>0</v>
      </c>
      <c r="N28" s="148">
        <f>'CAC Inc Stmt'!N28+'AL Inc Stmt'!N28+'ESL Inc Stmt'!N28</f>
        <v>0</v>
      </c>
      <c r="O28" s="148">
        <f>'CAC Inc Stmt'!O28+'AL Inc Stmt'!O28+'ESL Inc Stmt'!O28</f>
        <v>0</v>
      </c>
      <c r="P28" s="150">
        <f>'CAC Inc Stmt'!P28+'AL Inc Stmt'!P28+'ESL Inc Stmt'!P28</f>
        <v>0</v>
      </c>
      <c r="Q28" s="151">
        <f>'CAC Inc Stmt'!Q28+'AL Inc Stmt'!Q28+'ESL Inc Stmt'!Q28</f>
        <v>0</v>
      </c>
      <c r="R28" s="152">
        <f t="shared" si="6"/>
        <v>0</v>
      </c>
      <c r="S28" s="168" t="str">
        <f t="shared" si="4"/>
        <v/>
      </c>
      <c r="T28" s="154">
        <f t="shared" si="7"/>
        <v>-62</v>
      </c>
      <c r="U28" s="169">
        <f t="shared" si="5"/>
        <v>0</v>
      </c>
    </row>
    <row r="29" spans="2:21" outlineLevel="1" x14ac:dyDescent="0.2">
      <c r="F29" s="156"/>
      <c r="G29" s="166">
        <f>'CAC Inc Stmt'!G29+'AL Inc Stmt'!G29+'ESL Inc Stmt'!G29</f>
        <v>0</v>
      </c>
      <c r="H29" s="83">
        <f>'CAC Inc Stmt'!H29+'AL Inc Stmt'!H29+'ESL Inc Stmt'!H29</f>
        <v>0</v>
      </c>
      <c r="I29" s="83">
        <f>'CAC Inc Stmt'!I29+'AL Inc Stmt'!I29+'ESL Inc Stmt'!I29</f>
        <v>0</v>
      </c>
      <c r="J29" s="83">
        <f>'CAC Inc Stmt'!J29+'AL Inc Stmt'!J29+'ESL Inc Stmt'!J29</f>
        <v>0</v>
      </c>
      <c r="K29" s="15">
        <f>'CAC Inc Stmt'!K29+'AL Inc Stmt'!K29+'ESL Inc Stmt'!K29</f>
        <v>0</v>
      </c>
      <c r="L29" s="167">
        <f>'CAC Inc Stmt'!L29+'AL Inc Stmt'!L29+'ESL Inc Stmt'!L29</f>
        <v>0</v>
      </c>
      <c r="M29" s="148">
        <f>'CAC Inc Stmt'!M29+'AL Inc Stmt'!M29+'ESL Inc Stmt'!M29</f>
        <v>0</v>
      </c>
      <c r="N29" s="148">
        <f>'CAC Inc Stmt'!N29+'AL Inc Stmt'!N29+'ESL Inc Stmt'!N29</f>
        <v>0</v>
      </c>
      <c r="O29" s="148">
        <f>'CAC Inc Stmt'!O29+'AL Inc Stmt'!O29+'ESL Inc Stmt'!O29</f>
        <v>0</v>
      </c>
      <c r="P29" s="150">
        <f>'CAC Inc Stmt'!P29+'AL Inc Stmt'!P29+'ESL Inc Stmt'!P29</f>
        <v>0</v>
      </c>
      <c r="Q29" s="151">
        <f>'CAC Inc Stmt'!Q29+'AL Inc Stmt'!Q29+'ESL Inc Stmt'!Q29</f>
        <v>0</v>
      </c>
      <c r="R29" s="152">
        <f t="shared" si="6"/>
        <v>0</v>
      </c>
      <c r="S29" s="168" t="str">
        <f t="shared" si="4"/>
        <v/>
      </c>
      <c r="T29" s="154">
        <f t="shared" si="7"/>
        <v>0</v>
      </c>
      <c r="U29" s="155"/>
    </row>
    <row r="30" spans="2:21" outlineLevel="1" x14ac:dyDescent="0.2">
      <c r="F30" s="156"/>
      <c r="G30" s="166">
        <f>'CAC Inc Stmt'!G30+'AL Inc Stmt'!G30+'ESL Inc Stmt'!G30</f>
        <v>0</v>
      </c>
      <c r="H30" s="83">
        <f>'CAC Inc Stmt'!H30+'AL Inc Stmt'!H30+'ESL Inc Stmt'!H30</f>
        <v>0</v>
      </c>
      <c r="I30" s="83">
        <f>'CAC Inc Stmt'!I30+'AL Inc Stmt'!I30+'ESL Inc Stmt'!I30</f>
        <v>0</v>
      </c>
      <c r="J30" s="83">
        <f>'CAC Inc Stmt'!J30+'AL Inc Stmt'!J30+'ESL Inc Stmt'!J30</f>
        <v>0</v>
      </c>
      <c r="K30" s="15">
        <f>'CAC Inc Stmt'!K30+'AL Inc Stmt'!K30+'ESL Inc Stmt'!K30</f>
        <v>0</v>
      </c>
      <c r="L30" s="167">
        <f>'CAC Inc Stmt'!L30+'AL Inc Stmt'!L30+'ESL Inc Stmt'!L30</f>
        <v>0</v>
      </c>
      <c r="M30" s="148">
        <f>'CAC Inc Stmt'!M30+'AL Inc Stmt'!M30+'ESL Inc Stmt'!M30</f>
        <v>0</v>
      </c>
      <c r="N30" s="148">
        <f>'CAC Inc Stmt'!N30+'AL Inc Stmt'!N30+'ESL Inc Stmt'!N30</f>
        <v>0</v>
      </c>
      <c r="O30" s="148">
        <f>'CAC Inc Stmt'!O30+'AL Inc Stmt'!O30+'ESL Inc Stmt'!O30</f>
        <v>0</v>
      </c>
      <c r="P30" s="150">
        <f>'CAC Inc Stmt'!P30+'AL Inc Stmt'!P30+'ESL Inc Stmt'!P30</f>
        <v>0</v>
      </c>
      <c r="Q30" s="151">
        <f>'CAC Inc Stmt'!Q30+'AL Inc Stmt'!Q30+'ESL Inc Stmt'!Q30</f>
        <v>0</v>
      </c>
      <c r="R30" s="152">
        <f t="shared" si="6"/>
        <v>0</v>
      </c>
      <c r="S30" s="168" t="str">
        <f t="shared" si="4"/>
        <v/>
      </c>
      <c r="T30" s="154">
        <f t="shared" si="7"/>
        <v>0</v>
      </c>
      <c r="U30" s="155"/>
    </row>
    <row r="31" spans="2:21" outlineLevel="1" x14ac:dyDescent="0.2">
      <c r="F31" s="156"/>
      <c r="G31" s="166">
        <f>'CAC Inc Stmt'!G31+'AL Inc Stmt'!G31+'ESL Inc Stmt'!G31</f>
        <v>0</v>
      </c>
      <c r="H31" s="83">
        <f>'CAC Inc Stmt'!H31+'AL Inc Stmt'!H31+'ESL Inc Stmt'!H31</f>
        <v>0</v>
      </c>
      <c r="I31" s="83">
        <f>'CAC Inc Stmt'!I31+'AL Inc Stmt'!I31+'ESL Inc Stmt'!I31</f>
        <v>0</v>
      </c>
      <c r="J31" s="83">
        <f>'CAC Inc Stmt'!J31+'AL Inc Stmt'!J31+'ESL Inc Stmt'!J31</f>
        <v>0</v>
      </c>
      <c r="K31" s="15">
        <f>'CAC Inc Stmt'!K31+'AL Inc Stmt'!K31+'ESL Inc Stmt'!K31</f>
        <v>0</v>
      </c>
      <c r="L31" s="167">
        <f>'CAC Inc Stmt'!L31+'AL Inc Stmt'!L31+'ESL Inc Stmt'!L31</f>
        <v>0</v>
      </c>
      <c r="M31" s="148">
        <f>'CAC Inc Stmt'!M31+'AL Inc Stmt'!M31+'ESL Inc Stmt'!M31</f>
        <v>0</v>
      </c>
      <c r="N31" s="148">
        <f>'CAC Inc Stmt'!N31+'AL Inc Stmt'!N31+'ESL Inc Stmt'!N31</f>
        <v>0</v>
      </c>
      <c r="O31" s="148">
        <f>'CAC Inc Stmt'!O31+'AL Inc Stmt'!O31+'ESL Inc Stmt'!O31</f>
        <v>0</v>
      </c>
      <c r="P31" s="150">
        <f>'CAC Inc Stmt'!P31+'AL Inc Stmt'!P31+'ESL Inc Stmt'!P31</f>
        <v>0</v>
      </c>
      <c r="Q31" s="151">
        <f>'CAC Inc Stmt'!Q31+'AL Inc Stmt'!Q31+'ESL Inc Stmt'!Q31</f>
        <v>0</v>
      </c>
      <c r="R31" s="152">
        <f t="shared" si="6"/>
        <v>0</v>
      </c>
      <c r="S31" s="168" t="str">
        <f t="shared" si="4"/>
        <v/>
      </c>
      <c r="T31" s="154">
        <f t="shared" si="7"/>
        <v>0</v>
      </c>
      <c r="U31" s="155"/>
    </row>
    <row r="32" spans="2:21" outlineLevel="1" x14ac:dyDescent="0.2">
      <c r="F32" s="156"/>
      <c r="G32" s="166"/>
      <c r="H32" s="83"/>
      <c r="I32" s="83"/>
      <c r="J32" s="83"/>
      <c r="K32" s="15"/>
      <c r="L32" s="167"/>
      <c r="M32" s="148"/>
      <c r="N32" s="148"/>
      <c r="O32" s="148"/>
      <c r="P32" s="150"/>
      <c r="Q32" s="151"/>
      <c r="R32" s="152"/>
      <c r="S32" s="153"/>
      <c r="T32" s="154"/>
      <c r="U32" s="155"/>
    </row>
    <row r="33" spans="1:21" outlineLevel="1" x14ac:dyDescent="0.2">
      <c r="F33" s="156"/>
      <c r="G33" s="166"/>
      <c r="H33" s="83"/>
      <c r="I33" s="83"/>
      <c r="J33" s="83"/>
      <c r="K33" s="15"/>
      <c r="L33" s="167"/>
      <c r="M33" s="148"/>
      <c r="N33" s="148"/>
      <c r="O33" s="148"/>
      <c r="P33" s="150"/>
      <c r="Q33" s="151"/>
      <c r="R33" s="152"/>
      <c r="S33" s="153"/>
      <c r="T33" s="154"/>
      <c r="U33" s="155"/>
    </row>
    <row r="34" spans="1:21" x14ac:dyDescent="0.2">
      <c r="B34" s="118" t="s">
        <v>5</v>
      </c>
      <c r="F34" s="156"/>
      <c r="G34" s="157">
        <f>'CAC Inc Stmt'!G34+'AL Inc Stmt'!G34+'ESL Inc Stmt'!G34</f>
        <v>50147</v>
      </c>
      <c r="H34" s="84">
        <f>'CAC Inc Stmt'!H34+'AL Inc Stmt'!H34+'ESL Inc Stmt'!H34</f>
        <v>24840</v>
      </c>
      <c r="I34" s="84">
        <f>'CAC Inc Stmt'!I34+'AL Inc Stmt'!I34+'ESL Inc Stmt'!I34</f>
        <v>27030.55</v>
      </c>
      <c r="J34" s="84">
        <f>'CAC Inc Stmt'!J34+'AL Inc Stmt'!J34+'ESL Inc Stmt'!J34</f>
        <v>61915.570000000007</v>
      </c>
      <c r="K34" s="241">
        <f>'CAC Inc Stmt'!K34+'AL Inc Stmt'!K34+'ESL Inc Stmt'!K34</f>
        <v>82069.819999999992</v>
      </c>
      <c r="L34" s="159">
        <f>'CAC Inc Stmt'!L34+'AL Inc Stmt'!L34+'ESL Inc Stmt'!L34</f>
        <v>24840</v>
      </c>
      <c r="M34" s="158">
        <f>'CAC Inc Stmt'!M34+'AL Inc Stmt'!M34+'ESL Inc Stmt'!M34</f>
        <v>2190.5500000000002</v>
      </c>
      <c r="N34" s="158">
        <f>'CAC Inc Stmt'!N34+'AL Inc Stmt'!N34+'ESL Inc Stmt'!N34</f>
        <v>34885.020000000004</v>
      </c>
      <c r="O34" s="158">
        <f>'CAC Inc Stmt'!O34+'AL Inc Stmt'!O34+'ESL Inc Stmt'!O34</f>
        <v>20154.249999999996</v>
      </c>
      <c r="P34" s="160">
        <f>'CAC Inc Stmt'!P34+'AL Inc Stmt'!P34+'ESL Inc Stmt'!P34</f>
        <v>82069.819999999992</v>
      </c>
      <c r="Q34" s="161">
        <f>'CAC Inc Stmt'!Q34+'AL Inc Stmt'!Q34+'ESL Inc Stmt'!Q34</f>
        <v>48900</v>
      </c>
      <c r="R34" s="162">
        <f>SUM(R35:R43)</f>
        <v>33169.82</v>
      </c>
      <c r="S34" s="171">
        <f t="shared" ref="S34:S43" si="8">IF(Q34=0,"",P34/Q34)</f>
        <v>1.6783194274028628</v>
      </c>
      <c r="T34" s="164">
        <f>SUM(T35:T43)</f>
        <v>31922.819999999996</v>
      </c>
      <c r="U34" s="172">
        <f t="shared" ref="U34:U43" si="9">IF(G34=0,"",P34/G34)</f>
        <v>1.6365848405687278</v>
      </c>
    </row>
    <row r="35" spans="1:21" outlineLevel="1" x14ac:dyDescent="0.2">
      <c r="C35" s="116" t="s">
        <v>124</v>
      </c>
      <c r="F35" s="156"/>
      <c r="G35" s="166">
        <f>'CAC Inc Stmt'!G35+'AL Inc Stmt'!G35+'ESL Inc Stmt'!G35</f>
        <v>1150</v>
      </c>
      <c r="H35" s="85">
        <f>'CAC Inc Stmt'!H35+'AL Inc Stmt'!H35+'ESL Inc Stmt'!H35</f>
        <v>200</v>
      </c>
      <c r="I35" s="83">
        <f>'CAC Inc Stmt'!I35+'AL Inc Stmt'!I35+'ESL Inc Stmt'!I35</f>
        <v>360</v>
      </c>
      <c r="J35" s="83">
        <f>'CAC Inc Stmt'!J35+'AL Inc Stmt'!J35+'ESL Inc Stmt'!J35</f>
        <v>440</v>
      </c>
      <c r="K35" s="15">
        <f>'CAC Inc Stmt'!K35+'AL Inc Stmt'!K35+'ESL Inc Stmt'!K35</f>
        <v>570</v>
      </c>
      <c r="L35" s="167">
        <f>'CAC Inc Stmt'!L35+'AL Inc Stmt'!L35+'ESL Inc Stmt'!L35</f>
        <v>200</v>
      </c>
      <c r="M35" s="148">
        <f>'CAC Inc Stmt'!M35+'AL Inc Stmt'!M35+'ESL Inc Stmt'!M35</f>
        <v>160</v>
      </c>
      <c r="N35" s="148">
        <f>'CAC Inc Stmt'!N35+'AL Inc Stmt'!N35+'ESL Inc Stmt'!N35</f>
        <v>80</v>
      </c>
      <c r="O35" s="148">
        <f>'CAC Inc Stmt'!O35+'AL Inc Stmt'!O35+'ESL Inc Stmt'!O35</f>
        <v>130</v>
      </c>
      <c r="P35" s="150">
        <f>'CAC Inc Stmt'!P35+'AL Inc Stmt'!P35+'ESL Inc Stmt'!P35</f>
        <v>570</v>
      </c>
      <c r="Q35" s="151">
        <f>'CAC Inc Stmt'!Q35+'AL Inc Stmt'!Q35+'ESL Inc Stmt'!Q35</f>
        <v>1200</v>
      </c>
      <c r="R35" s="152">
        <f t="shared" ref="R35:R43" si="10">P35-Q35</f>
        <v>-630</v>
      </c>
      <c r="S35" s="173">
        <f t="shared" si="8"/>
        <v>0.47499999999999998</v>
      </c>
      <c r="T35" s="154">
        <f t="shared" ref="T35:T43" si="11">P35-G35</f>
        <v>-580</v>
      </c>
      <c r="U35" s="170">
        <f t="shared" si="9"/>
        <v>0.4956521739130435</v>
      </c>
    </row>
    <row r="36" spans="1:21" outlineLevel="1" x14ac:dyDescent="0.2">
      <c r="C36" s="116" t="s">
        <v>190</v>
      </c>
      <c r="F36" s="156"/>
      <c r="G36" s="166">
        <f>'CAC Inc Stmt'!G36+'AL Inc Stmt'!G36+'ESL Inc Stmt'!G36</f>
        <v>37090</v>
      </c>
      <c r="H36" s="85">
        <f>'CAC Inc Stmt'!H36+'AL Inc Stmt'!H36+'ESL Inc Stmt'!H36</f>
        <v>23510</v>
      </c>
      <c r="I36" s="83">
        <f>'CAC Inc Stmt'!I36+'AL Inc Stmt'!I36+'ESL Inc Stmt'!I36</f>
        <v>26010</v>
      </c>
      <c r="J36" s="83">
        <f>'CAC Inc Stmt'!J36+'AL Inc Stmt'!J36+'ESL Inc Stmt'!J36</f>
        <v>27790.02</v>
      </c>
      <c r="K36" s="15">
        <f>'CAC Inc Stmt'!K36+'AL Inc Stmt'!K36+'ESL Inc Stmt'!K36</f>
        <v>42430.02</v>
      </c>
      <c r="L36" s="167">
        <f>'CAC Inc Stmt'!L36+'AL Inc Stmt'!L36+'ESL Inc Stmt'!L36</f>
        <v>23510</v>
      </c>
      <c r="M36" s="148">
        <f>'CAC Inc Stmt'!M36+'AL Inc Stmt'!M36+'ESL Inc Stmt'!M36</f>
        <v>2500</v>
      </c>
      <c r="N36" s="148">
        <f>'CAC Inc Stmt'!N36+'AL Inc Stmt'!N36+'ESL Inc Stmt'!N36</f>
        <v>1780.0200000000004</v>
      </c>
      <c r="O36" s="148">
        <f>'CAC Inc Stmt'!O36+'AL Inc Stmt'!O36+'ESL Inc Stmt'!O36</f>
        <v>14639.999999999996</v>
      </c>
      <c r="P36" s="150">
        <f>'CAC Inc Stmt'!P36+'AL Inc Stmt'!P36+'ESL Inc Stmt'!P36</f>
        <v>42430.02</v>
      </c>
      <c r="Q36" s="174">
        <f>'CAC Inc Stmt'!Q36+'AL Inc Stmt'!Q36+'ESL Inc Stmt'!Q36</f>
        <v>45000</v>
      </c>
      <c r="R36" s="152">
        <f t="shared" si="10"/>
        <v>-2569.9800000000032</v>
      </c>
      <c r="S36" s="173">
        <f t="shared" si="8"/>
        <v>0.94288933333333325</v>
      </c>
      <c r="T36" s="154">
        <f t="shared" si="11"/>
        <v>5340.0199999999968</v>
      </c>
      <c r="U36" s="170">
        <f t="shared" si="9"/>
        <v>1.1439746562415745</v>
      </c>
    </row>
    <row r="37" spans="1:21" outlineLevel="1" x14ac:dyDescent="0.2">
      <c r="C37" s="116" t="s">
        <v>264</v>
      </c>
      <c r="F37" s="156" t="s">
        <v>133</v>
      </c>
      <c r="G37" s="166">
        <f>'CAC Inc Stmt'!G37+'AL Inc Stmt'!G37+'ESL Inc Stmt'!G37</f>
        <v>0</v>
      </c>
      <c r="H37" s="85">
        <f>'CAC Inc Stmt'!H37+'AL Inc Stmt'!H37+'ESL Inc Stmt'!H37</f>
        <v>0</v>
      </c>
      <c r="I37" s="83">
        <f>'CAC Inc Stmt'!I37+'AL Inc Stmt'!I37+'ESL Inc Stmt'!I37</f>
        <v>0</v>
      </c>
      <c r="J37" s="83">
        <f>'CAC Inc Stmt'!J37+'AL Inc Stmt'!J37+'ESL Inc Stmt'!J37</f>
        <v>0</v>
      </c>
      <c r="K37" s="15">
        <f>'CAC Inc Stmt'!K37+'AL Inc Stmt'!K37+'ESL Inc Stmt'!K37</f>
        <v>0</v>
      </c>
      <c r="L37" s="167">
        <f>'CAC Inc Stmt'!L37+'AL Inc Stmt'!L37+'ESL Inc Stmt'!L37</f>
        <v>0</v>
      </c>
      <c r="M37" s="148">
        <f>'CAC Inc Stmt'!M37+'AL Inc Stmt'!M37+'ESL Inc Stmt'!M37</f>
        <v>0</v>
      </c>
      <c r="N37" s="148">
        <f>'CAC Inc Stmt'!N37+'AL Inc Stmt'!N37+'ESL Inc Stmt'!N37</f>
        <v>0</v>
      </c>
      <c r="O37" s="148">
        <f>'CAC Inc Stmt'!O37+'AL Inc Stmt'!O37+'ESL Inc Stmt'!O37</f>
        <v>0</v>
      </c>
      <c r="P37" s="150">
        <f>'CAC Inc Stmt'!P37+'AL Inc Stmt'!P37+'ESL Inc Stmt'!P37</f>
        <v>0</v>
      </c>
      <c r="Q37" s="151">
        <f>'CAC Inc Stmt'!Q37+'AL Inc Stmt'!Q37+'ESL Inc Stmt'!Q37</f>
        <v>0</v>
      </c>
      <c r="R37" s="152">
        <f>P37-Q37</f>
        <v>0</v>
      </c>
      <c r="S37" s="173" t="str">
        <f t="shared" si="8"/>
        <v/>
      </c>
      <c r="T37" s="154">
        <f t="shared" si="11"/>
        <v>0</v>
      </c>
      <c r="U37" s="170" t="str">
        <f t="shared" si="9"/>
        <v/>
      </c>
    </row>
    <row r="38" spans="1:21" outlineLevel="1" x14ac:dyDescent="0.2">
      <c r="C38" s="116" t="s">
        <v>191</v>
      </c>
      <c r="F38" s="156" t="s">
        <v>199</v>
      </c>
      <c r="G38" s="166">
        <f>'CAC Inc Stmt'!G38+'AL Inc Stmt'!G38+'ESL Inc Stmt'!G38</f>
        <v>10925</v>
      </c>
      <c r="H38" s="85">
        <f>'CAC Inc Stmt'!H38+'AL Inc Stmt'!H38+'ESL Inc Stmt'!H38</f>
        <v>315</v>
      </c>
      <c r="I38" s="83">
        <f>'CAC Inc Stmt'!I38+'AL Inc Stmt'!I38+'ESL Inc Stmt'!I38</f>
        <v>340</v>
      </c>
      <c r="J38" s="83">
        <f>'CAC Inc Stmt'!J38+'AL Inc Stmt'!J38+'ESL Inc Stmt'!J38</f>
        <v>33340</v>
      </c>
      <c r="K38" s="15">
        <f>'CAC Inc Stmt'!K38+'AL Inc Stmt'!K38+'ESL Inc Stmt'!K38</f>
        <v>38720</v>
      </c>
      <c r="L38" s="167">
        <f>'CAC Inc Stmt'!L38+'AL Inc Stmt'!L38+'ESL Inc Stmt'!L38</f>
        <v>315</v>
      </c>
      <c r="M38" s="148">
        <f>'CAC Inc Stmt'!M38+'AL Inc Stmt'!M38+'ESL Inc Stmt'!M38</f>
        <v>25</v>
      </c>
      <c r="N38" s="148">
        <f>'CAC Inc Stmt'!N38+'AL Inc Stmt'!N38+'ESL Inc Stmt'!N38</f>
        <v>33000</v>
      </c>
      <c r="O38" s="148">
        <f>'CAC Inc Stmt'!O38+'AL Inc Stmt'!O38+'ESL Inc Stmt'!O38</f>
        <v>5380</v>
      </c>
      <c r="P38" s="150">
        <f>'CAC Inc Stmt'!P38+'AL Inc Stmt'!P38+'ESL Inc Stmt'!P38</f>
        <v>38720</v>
      </c>
      <c r="Q38" s="151">
        <f>'CAC Inc Stmt'!Q38+'AL Inc Stmt'!Q38+'ESL Inc Stmt'!Q38</f>
        <v>2000</v>
      </c>
      <c r="R38" s="152">
        <f t="shared" si="10"/>
        <v>36720</v>
      </c>
      <c r="S38" s="173">
        <f t="shared" si="8"/>
        <v>19.36</v>
      </c>
      <c r="T38" s="154">
        <f t="shared" si="11"/>
        <v>27795</v>
      </c>
      <c r="U38" s="170">
        <f t="shared" si="9"/>
        <v>3.5441647597254002</v>
      </c>
    </row>
    <row r="39" spans="1:21" outlineLevel="1" x14ac:dyDescent="0.2">
      <c r="C39" s="116" t="s">
        <v>346</v>
      </c>
      <c r="F39" s="156"/>
      <c r="G39" s="166">
        <f>'CAC Inc Stmt'!G39+'AL Inc Stmt'!G39+'ESL Inc Stmt'!G39</f>
        <v>0</v>
      </c>
      <c r="H39" s="85">
        <f>'CAC Inc Stmt'!H39+'AL Inc Stmt'!H39+'ESL Inc Stmt'!H39</f>
        <v>0</v>
      </c>
      <c r="I39" s="83">
        <f>'CAC Inc Stmt'!I39+'AL Inc Stmt'!I39+'ESL Inc Stmt'!I39</f>
        <v>0</v>
      </c>
      <c r="J39" s="83">
        <f>'CAC Inc Stmt'!J39+'AL Inc Stmt'!J39+'ESL Inc Stmt'!J39</f>
        <v>0</v>
      </c>
      <c r="K39" s="15">
        <f>'CAC Inc Stmt'!K39+'AL Inc Stmt'!K39+'ESL Inc Stmt'!K39</f>
        <v>0</v>
      </c>
      <c r="L39" s="167">
        <f>'CAC Inc Stmt'!L39+'AL Inc Stmt'!L39+'ESL Inc Stmt'!L39</f>
        <v>0</v>
      </c>
      <c r="M39" s="148">
        <f>'CAC Inc Stmt'!M39+'AL Inc Stmt'!M39+'ESL Inc Stmt'!M39</f>
        <v>0</v>
      </c>
      <c r="N39" s="148">
        <f>'CAC Inc Stmt'!N39+'AL Inc Stmt'!N39+'ESL Inc Stmt'!N39</f>
        <v>0</v>
      </c>
      <c r="O39" s="148">
        <f>'CAC Inc Stmt'!O39+'AL Inc Stmt'!O39+'ESL Inc Stmt'!O39</f>
        <v>0</v>
      </c>
      <c r="P39" s="150">
        <f>'CAC Inc Stmt'!P39+'AL Inc Stmt'!P39+'ESL Inc Stmt'!P39</f>
        <v>0</v>
      </c>
      <c r="Q39" s="151">
        <f>'CAC Inc Stmt'!Q39+'AL Inc Stmt'!Q39+'ESL Inc Stmt'!Q39</f>
        <v>0</v>
      </c>
      <c r="R39" s="152">
        <f t="shared" si="10"/>
        <v>0</v>
      </c>
      <c r="S39" s="173" t="str">
        <f t="shared" si="8"/>
        <v/>
      </c>
      <c r="T39" s="154">
        <f t="shared" si="11"/>
        <v>0</v>
      </c>
      <c r="U39" s="170" t="str">
        <f t="shared" si="9"/>
        <v/>
      </c>
    </row>
    <row r="40" spans="1:21" outlineLevel="1" x14ac:dyDescent="0.2">
      <c r="C40" s="116" t="s">
        <v>0</v>
      </c>
      <c r="F40" s="156">
        <v>5490</v>
      </c>
      <c r="G40" s="166">
        <f>'CAC Inc Stmt'!G40+'AL Inc Stmt'!G40+'ESL Inc Stmt'!G40</f>
        <v>982</v>
      </c>
      <c r="H40" s="83">
        <f>'CAC Inc Stmt'!H86+'AL Inc Stmt'!H40+'ESL Inc Stmt'!H40</f>
        <v>0</v>
      </c>
      <c r="I40" s="83">
        <f>'CAC Inc Stmt'!I40+'AL Inc Stmt'!I40+'ESL Inc Stmt'!I40</f>
        <v>385</v>
      </c>
      <c r="J40" s="83">
        <f>'CAC Inc Stmt'!J40+'AL Inc Stmt'!J40+'ESL Inc Stmt'!J40</f>
        <v>410</v>
      </c>
      <c r="K40" s="15">
        <f>'CAC Inc Stmt'!K40+'AL Inc Stmt'!K40+'ESL Inc Stmt'!K40</f>
        <v>554</v>
      </c>
      <c r="L40" s="167">
        <f>'CAC Inc Stmt'!L40+'AL Inc Stmt'!L40+'ESL Inc Stmt'!L40</f>
        <v>265</v>
      </c>
      <c r="M40" s="148">
        <f>'CAC Inc Stmt'!M40+'AL Inc Stmt'!M40+'ESL Inc Stmt'!M40</f>
        <v>120</v>
      </c>
      <c r="N40" s="148">
        <f>'CAC Inc Stmt'!N40+'AL Inc Stmt'!N40+'ESL Inc Stmt'!N40</f>
        <v>25</v>
      </c>
      <c r="O40" s="148">
        <f>'CAC Inc Stmt'!O40+'AL Inc Stmt'!O40+'ESL Inc Stmt'!O40</f>
        <v>144</v>
      </c>
      <c r="P40" s="150">
        <f>'CAC Inc Stmt'!P40+'AL Inc Stmt'!P40+'ESL Inc Stmt'!P40</f>
        <v>554</v>
      </c>
      <c r="Q40" s="151">
        <f>'CAC Inc Stmt'!Q40+'AL Inc Stmt'!Q40+'ESL Inc Stmt'!Q40</f>
        <v>700</v>
      </c>
      <c r="R40" s="152">
        <f t="shared" si="10"/>
        <v>-146</v>
      </c>
      <c r="S40" s="173">
        <f t="shared" si="8"/>
        <v>0.79142857142857148</v>
      </c>
      <c r="T40" s="154">
        <f t="shared" si="11"/>
        <v>-428</v>
      </c>
      <c r="U40" s="170">
        <f t="shared" si="9"/>
        <v>0.56415478615071279</v>
      </c>
    </row>
    <row r="41" spans="1:21" outlineLevel="1" x14ac:dyDescent="0.2">
      <c r="C41" s="251" t="s">
        <v>295</v>
      </c>
      <c r="F41" s="156"/>
      <c r="G41" s="166">
        <f>'CAC Inc Stmt'!G41+'AL Inc Stmt'!G41+'ESL Inc Stmt'!G41</f>
        <v>0</v>
      </c>
      <c r="H41" s="83">
        <f>'CAC Inc Stmt'!H41+'AL Inc Stmt'!H41+'ESL Inc Stmt'!H41</f>
        <v>550</v>
      </c>
      <c r="I41" s="83">
        <f>'CAC Inc Stmt'!I41+'AL Inc Stmt'!I41+'ESL Inc Stmt'!I41</f>
        <v>-64.450000000000045</v>
      </c>
      <c r="J41" s="83">
        <f>'CAC Inc Stmt'!J41+'AL Inc Stmt'!J41+'ESL Inc Stmt'!J41</f>
        <v>-64.450000000000045</v>
      </c>
      <c r="K41" s="15">
        <f>'CAC Inc Stmt'!K41+'AL Inc Stmt'!K41+'ESL Inc Stmt'!K41</f>
        <v>-204.2</v>
      </c>
      <c r="L41" s="167">
        <f>'CAC Inc Stmt'!L41+'AL Inc Stmt'!L41+'ESL Inc Stmt'!L41</f>
        <v>550</v>
      </c>
      <c r="M41" s="148">
        <f>'CAC Inc Stmt'!M41+'AL Inc Stmt'!M41+'ESL Inc Stmt'!M41</f>
        <v>-614.45000000000005</v>
      </c>
      <c r="N41" s="148">
        <f>'CAC Inc Stmt'!N41+'AL Inc Stmt'!N41+'ESL Inc Stmt'!N41</f>
        <v>0</v>
      </c>
      <c r="O41" s="148">
        <f>'CAC Inc Stmt'!O41+'AL Inc Stmt'!O41+'ESL Inc Stmt'!O41</f>
        <v>-139.74999999999994</v>
      </c>
      <c r="P41" s="150">
        <f>'CAC Inc Stmt'!P41+'AL Inc Stmt'!P41+'ESL Inc Stmt'!P41</f>
        <v>-204.2</v>
      </c>
      <c r="Q41" s="151">
        <f>'CAC Inc Stmt'!Q41+'AL Inc Stmt'!Q41+'ESL Inc Stmt'!Q41</f>
        <v>0</v>
      </c>
      <c r="R41" s="152">
        <f t="shared" si="10"/>
        <v>-204.2</v>
      </c>
      <c r="S41" s="173" t="str">
        <f t="shared" si="8"/>
        <v/>
      </c>
      <c r="T41" s="154">
        <f t="shared" si="11"/>
        <v>-204.2</v>
      </c>
      <c r="U41" s="170" t="str">
        <f t="shared" si="9"/>
        <v/>
      </c>
    </row>
    <row r="42" spans="1:21" outlineLevel="1" x14ac:dyDescent="0.2">
      <c r="F42" s="156"/>
      <c r="G42" s="166">
        <f>'CAC Inc Stmt'!G42+'AL Inc Stmt'!G42+'ESL Inc Stmt'!G42</f>
        <v>0</v>
      </c>
      <c r="H42" s="83">
        <f>'CAC Inc Stmt'!H42+'AL Inc Stmt'!H42+'ESL Inc Stmt'!H42</f>
        <v>0</v>
      </c>
      <c r="I42" s="83">
        <f>'CAC Inc Stmt'!I42+'AL Inc Stmt'!I42+'ESL Inc Stmt'!I42</f>
        <v>0</v>
      </c>
      <c r="J42" s="83">
        <f>'CAC Inc Stmt'!J42+'AL Inc Stmt'!J42+'ESL Inc Stmt'!J42</f>
        <v>0</v>
      </c>
      <c r="K42" s="15">
        <f>'CAC Inc Stmt'!K42+'AL Inc Stmt'!K42+'ESL Inc Stmt'!K42</f>
        <v>0</v>
      </c>
      <c r="L42" s="167">
        <f>'CAC Inc Stmt'!L42+'AL Inc Stmt'!L42+'ESL Inc Stmt'!L42</f>
        <v>0</v>
      </c>
      <c r="M42" s="148">
        <f>'CAC Inc Stmt'!M42+'AL Inc Stmt'!M42+'ESL Inc Stmt'!M42</f>
        <v>0</v>
      </c>
      <c r="N42" s="148">
        <f>'CAC Inc Stmt'!N42+'AL Inc Stmt'!N42+'ESL Inc Stmt'!N42</f>
        <v>0</v>
      </c>
      <c r="O42" s="148">
        <f>'CAC Inc Stmt'!O42+'AL Inc Stmt'!O42+'ESL Inc Stmt'!O42</f>
        <v>0</v>
      </c>
      <c r="P42" s="150">
        <f>'CAC Inc Stmt'!P42+'AL Inc Stmt'!P42+'ESL Inc Stmt'!P42</f>
        <v>0</v>
      </c>
      <c r="Q42" s="151">
        <f>'CAC Inc Stmt'!Q42+'AL Inc Stmt'!Q42+'ESL Inc Stmt'!Q42</f>
        <v>0</v>
      </c>
      <c r="R42" s="152">
        <f t="shared" si="10"/>
        <v>0</v>
      </c>
      <c r="S42" s="173" t="str">
        <f t="shared" si="8"/>
        <v/>
      </c>
      <c r="T42" s="154">
        <f t="shared" si="11"/>
        <v>0</v>
      </c>
      <c r="U42" s="170" t="str">
        <f t="shared" si="9"/>
        <v/>
      </c>
    </row>
    <row r="43" spans="1:21" outlineLevel="1" x14ac:dyDescent="0.2">
      <c r="F43" s="156"/>
      <c r="G43" s="166">
        <f>'CAC Inc Stmt'!G43+'AL Inc Stmt'!G43+'ESL Inc Stmt'!G43</f>
        <v>0</v>
      </c>
      <c r="H43" s="83">
        <f>'CAC Inc Stmt'!H43+'AL Inc Stmt'!H43+'ESL Inc Stmt'!H43</f>
        <v>0</v>
      </c>
      <c r="I43" s="83">
        <f>'CAC Inc Stmt'!I43+'AL Inc Stmt'!I43+'ESL Inc Stmt'!I43</f>
        <v>0</v>
      </c>
      <c r="J43" s="83">
        <f>'CAC Inc Stmt'!J43+'AL Inc Stmt'!J43+'ESL Inc Stmt'!J43</f>
        <v>0</v>
      </c>
      <c r="K43" s="15">
        <f>'CAC Inc Stmt'!K43+'AL Inc Stmt'!K43+'ESL Inc Stmt'!K43</f>
        <v>0</v>
      </c>
      <c r="L43" s="167">
        <f>'CAC Inc Stmt'!L43+'AL Inc Stmt'!L43+'ESL Inc Stmt'!L43</f>
        <v>0</v>
      </c>
      <c r="M43" s="148">
        <f>'CAC Inc Stmt'!M43+'AL Inc Stmt'!M43+'ESL Inc Stmt'!M43</f>
        <v>0</v>
      </c>
      <c r="N43" s="148">
        <f>'CAC Inc Stmt'!N43+'AL Inc Stmt'!N43+'ESL Inc Stmt'!N43</f>
        <v>0</v>
      </c>
      <c r="O43" s="148">
        <f>'CAC Inc Stmt'!O43+'AL Inc Stmt'!O43+'ESL Inc Stmt'!O43</f>
        <v>0</v>
      </c>
      <c r="P43" s="150">
        <f>'CAC Inc Stmt'!P43+'AL Inc Stmt'!P43+'ESL Inc Stmt'!P43</f>
        <v>0</v>
      </c>
      <c r="Q43" s="151">
        <f>'CAC Inc Stmt'!Q43+'AL Inc Stmt'!Q43+'ESL Inc Stmt'!Q43</f>
        <v>0</v>
      </c>
      <c r="R43" s="152">
        <f t="shared" si="10"/>
        <v>0</v>
      </c>
      <c r="S43" s="173" t="str">
        <f t="shared" si="8"/>
        <v/>
      </c>
      <c r="T43" s="154">
        <f t="shared" si="11"/>
        <v>0</v>
      </c>
      <c r="U43" s="170" t="str">
        <f t="shared" si="9"/>
        <v/>
      </c>
    </row>
    <row r="44" spans="1:21" outlineLevel="1" x14ac:dyDescent="0.2">
      <c r="F44" s="156"/>
      <c r="G44" s="166"/>
      <c r="H44" s="83"/>
      <c r="I44" s="83"/>
      <c r="J44" s="83"/>
      <c r="K44" s="15"/>
      <c r="L44" s="167"/>
      <c r="M44" s="148"/>
      <c r="N44" s="148"/>
      <c r="O44" s="148"/>
      <c r="P44" s="150"/>
      <c r="Q44" s="151"/>
      <c r="R44" s="152"/>
      <c r="S44" s="153"/>
      <c r="T44" s="154"/>
      <c r="U44" s="155"/>
    </row>
    <row r="45" spans="1:21" x14ac:dyDescent="0.2">
      <c r="A45" s="118" t="s">
        <v>102</v>
      </c>
      <c r="F45" s="156"/>
      <c r="G45" s="175">
        <f>'CAC Inc Stmt'!G45+'AL Inc Stmt'!G45+'ESL Inc Stmt'!G45</f>
        <v>163750.78</v>
      </c>
      <c r="H45" s="86">
        <f>'CAC Inc Stmt'!H45+'AL Inc Stmt'!H45+'ESL Inc Stmt'!H45</f>
        <v>50412.08</v>
      </c>
      <c r="I45" s="86">
        <f>'CAC Inc Stmt'!I45+'AL Inc Stmt'!I45+'ESL Inc Stmt'!I45</f>
        <v>99282.55</v>
      </c>
      <c r="J45" s="86">
        <f>'CAC Inc Stmt'!J45+'AL Inc Stmt'!J45+'ESL Inc Stmt'!J45</f>
        <v>158665.57</v>
      </c>
      <c r="K45" s="243">
        <f>'CAC Inc Stmt'!K45+'AL Inc Stmt'!K45+'ESL Inc Stmt'!K45</f>
        <v>210679.82</v>
      </c>
      <c r="L45" s="177">
        <f>'CAC Inc Stmt'!L45+'AL Inc Stmt'!L45+'ESL Inc Stmt'!L45</f>
        <v>50412.08</v>
      </c>
      <c r="M45" s="176">
        <f>'CAC Inc Stmt'!M45+'AL Inc Stmt'!M45+'ESL Inc Stmt'!M45</f>
        <v>48870.47</v>
      </c>
      <c r="N45" s="176">
        <f>'CAC Inc Stmt'!N45+'AL Inc Stmt'!N45+'ESL Inc Stmt'!N45</f>
        <v>59383.020000000004</v>
      </c>
      <c r="O45" s="176">
        <f>'CAC Inc Stmt'!O45+'AL Inc Stmt'!O45+'ESL Inc Stmt'!O45</f>
        <v>52014.25</v>
      </c>
      <c r="P45" s="178">
        <f>'CAC Inc Stmt'!P45+'AL Inc Stmt'!P45+'ESL Inc Stmt'!P45</f>
        <v>210679.82</v>
      </c>
      <c r="Q45" s="179">
        <f>'CAC Inc Stmt'!Q45+'AL Inc Stmt'!Q45+'ESL Inc Stmt'!Q45</f>
        <v>162267</v>
      </c>
      <c r="R45" s="180">
        <f>R8+R20+R34</f>
        <v>48412.82</v>
      </c>
      <c r="S45" s="181">
        <f>IF(Q45=0,"",P45/Q45)</f>
        <v>1.298352838223422</v>
      </c>
      <c r="T45" s="182">
        <f>T8+T20+T34</f>
        <v>46929.039999999994</v>
      </c>
      <c r="U45" s="183">
        <f>IF(G45=0,"",P45/G45)</f>
        <v>1.2865881921295277</v>
      </c>
    </row>
    <row r="46" spans="1:21" x14ac:dyDescent="0.2">
      <c r="F46" s="156"/>
      <c r="G46" s="166"/>
      <c r="H46" s="83"/>
      <c r="I46" s="83"/>
      <c r="J46" s="83"/>
      <c r="K46" s="15"/>
      <c r="L46" s="167"/>
      <c r="M46" s="148"/>
      <c r="N46" s="148"/>
      <c r="O46" s="148"/>
      <c r="P46" s="150"/>
      <c r="Q46" s="151"/>
      <c r="R46" s="152"/>
      <c r="S46" s="153"/>
      <c r="T46" s="154"/>
      <c r="U46" s="155"/>
    </row>
    <row r="47" spans="1:21" x14ac:dyDescent="0.2">
      <c r="A47" s="118" t="s">
        <v>194</v>
      </c>
      <c r="F47" s="156"/>
      <c r="G47" s="166"/>
      <c r="H47" s="83"/>
      <c r="I47" s="83"/>
      <c r="J47" s="83"/>
      <c r="K47" s="15"/>
      <c r="L47" s="167"/>
      <c r="M47" s="148"/>
      <c r="N47" s="148"/>
      <c r="O47" s="148"/>
      <c r="P47" s="150"/>
      <c r="Q47" s="151"/>
      <c r="R47" s="152"/>
      <c r="S47" s="153"/>
      <c r="T47" s="154"/>
      <c r="U47" s="155"/>
    </row>
    <row r="48" spans="1:21" outlineLevel="1" x14ac:dyDescent="0.2">
      <c r="B48" s="116" t="s">
        <v>360</v>
      </c>
      <c r="F48" s="156"/>
      <c r="G48" s="166">
        <f>'CAC Inc Stmt'!G48+'AL Inc Stmt'!G48+'ESL Inc Stmt'!G48</f>
        <v>6183.26</v>
      </c>
      <c r="H48" s="83">
        <f>'CAC Inc Stmt'!H48+'AL Inc Stmt'!H48+'ESL Inc Stmt'!H48</f>
        <v>880</v>
      </c>
      <c r="I48" s="83">
        <f>'CAC Inc Stmt'!I48+'AL Inc Stmt'!I48+'ESL Inc Stmt'!I48</f>
        <v>1905</v>
      </c>
      <c r="J48" s="83">
        <f>'CAC Inc Stmt'!J48+'AL Inc Stmt'!J48+'ESL Inc Stmt'!J48</f>
        <v>2423</v>
      </c>
      <c r="K48" s="15">
        <f>'CAC Inc Stmt'!K48+'AL Inc Stmt'!K48+'ESL Inc Stmt'!K48</f>
        <v>4316</v>
      </c>
      <c r="L48" s="167">
        <f>'CAC Inc Stmt'!L48+'AL Inc Stmt'!L48+'ESL Inc Stmt'!L48</f>
        <v>880</v>
      </c>
      <c r="M48" s="148">
        <f>'CAC Inc Stmt'!M48+'AL Inc Stmt'!M48+'ESL Inc Stmt'!M48</f>
        <v>1025</v>
      </c>
      <c r="N48" s="148">
        <f>'CAC Inc Stmt'!N48+'AL Inc Stmt'!N48+'ESL Inc Stmt'!N48</f>
        <v>518</v>
      </c>
      <c r="O48" s="148">
        <f>'CAC Inc Stmt'!O48+'AL Inc Stmt'!O48+'ESL Inc Stmt'!O48</f>
        <v>1893</v>
      </c>
      <c r="P48" s="150">
        <f>'CAC Inc Stmt'!P48+'AL Inc Stmt'!P48+'ESL Inc Stmt'!P48</f>
        <v>4316</v>
      </c>
      <c r="Q48" s="151">
        <f>'CAC Inc Stmt'!Q48+'AL Inc Stmt'!Q48+'ESL Inc Stmt'!Q48</f>
        <v>5808</v>
      </c>
      <c r="R48" s="152">
        <f t="shared" ref="R48:R74" si="12">P48-Q48</f>
        <v>-1492</v>
      </c>
      <c r="S48" s="173">
        <f t="shared" ref="S48:S76" si="13">IF(Q48=0,"",P48/Q48)</f>
        <v>0.74311294765840219</v>
      </c>
      <c r="T48" s="154">
        <f t="shared" ref="T48:T74" si="14">P48-G48</f>
        <v>-1867.2600000000002</v>
      </c>
      <c r="U48" s="170">
        <f t="shared" ref="U48:U76" si="15">IF(G48=0,"",P48/G48)</f>
        <v>0.69801366916480945</v>
      </c>
    </row>
    <row r="49" spans="2:21" outlineLevel="1" x14ac:dyDescent="0.2">
      <c r="B49" s="116" t="s">
        <v>224</v>
      </c>
      <c r="F49" s="156" t="s">
        <v>207</v>
      </c>
      <c r="G49" s="166">
        <f>'CAC Inc Stmt'!G49+'AL Inc Stmt'!G49+'ESL Inc Stmt'!G49</f>
        <v>19227</v>
      </c>
      <c r="H49" s="83">
        <f>'CAC Inc Stmt'!H49+'AL Inc Stmt'!H49+'ESL Inc Stmt'!H49</f>
        <v>2924</v>
      </c>
      <c r="I49" s="83">
        <f>'CAC Inc Stmt'!I49+'AL Inc Stmt'!I49+'ESL Inc Stmt'!I49</f>
        <v>10335</v>
      </c>
      <c r="J49" s="83">
        <f>'CAC Inc Stmt'!J49+'AL Inc Stmt'!J49+'ESL Inc Stmt'!J49</f>
        <v>14153</v>
      </c>
      <c r="K49" s="15">
        <f>'CAC Inc Stmt'!K49+'AL Inc Stmt'!K49+'ESL Inc Stmt'!K49</f>
        <v>23573</v>
      </c>
      <c r="L49" s="167">
        <f>'CAC Inc Stmt'!L49+'AL Inc Stmt'!L49+'ESL Inc Stmt'!L49</f>
        <v>2924</v>
      </c>
      <c r="M49" s="148">
        <f>'CAC Inc Stmt'!M49+'AL Inc Stmt'!M49+'ESL Inc Stmt'!M49</f>
        <v>7411</v>
      </c>
      <c r="N49" s="148">
        <f>'CAC Inc Stmt'!N49+'AL Inc Stmt'!N49+'ESL Inc Stmt'!N49</f>
        <v>3818</v>
      </c>
      <c r="O49" s="148">
        <f>'CAC Inc Stmt'!O49+'AL Inc Stmt'!O49+'ESL Inc Stmt'!O49</f>
        <v>9420</v>
      </c>
      <c r="P49" s="150">
        <f>'CAC Inc Stmt'!P49+'AL Inc Stmt'!P49+'ESL Inc Stmt'!P49</f>
        <v>23573</v>
      </c>
      <c r="Q49" s="151">
        <f>'CAC Inc Stmt'!Q49+'AL Inc Stmt'!Q49+'ESL Inc Stmt'!Q49</f>
        <v>19800</v>
      </c>
      <c r="R49" s="152">
        <f t="shared" si="12"/>
        <v>3773</v>
      </c>
      <c r="S49" s="173">
        <f t="shared" si="13"/>
        <v>1.1905555555555556</v>
      </c>
      <c r="T49" s="154">
        <f t="shared" si="14"/>
        <v>4346</v>
      </c>
      <c r="U49" s="170">
        <f t="shared" si="15"/>
        <v>1.2260363031154107</v>
      </c>
    </row>
    <row r="50" spans="2:21" outlineLevel="1" x14ac:dyDescent="0.2">
      <c r="B50" s="116" t="s">
        <v>1</v>
      </c>
      <c r="F50" s="156"/>
      <c r="G50" s="166">
        <f>'CAC Inc Stmt'!G50+'AL Inc Stmt'!G50+'ESL Inc Stmt'!G50</f>
        <v>1543.6399999999999</v>
      </c>
      <c r="H50" s="85">
        <f>'CAC Inc Stmt'!H50+'AL Inc Stmt'!H50+'ESL Inc Stmt'!H50</f>
        <v>160.58000000000001</v>
      </c>
      <c r="I50" s="83">
        <f>'CAC Inc Stmt'!I50+'AL Inc Stmt'!I50+'ESL Inc Stmt'!I50</f>
        <v>-639.41999999999996</v>
      </c>
      <c r="J50" s="83">
        <f>'CAC Inc Stmt'!J50+'AL Inc Stmt'!J50+'ESL Inc Stmt'!J50</f>
        <v>-269.86999999999995</v>
      </c>
      <c r="K50" s="15">
        <f>'CAC Inc Stmt'!K50+'AL Inc Stmt'!K50+'ESL Inc Stmt'!K50</f>
        <v>-269.86999999999995</v>
      </c>
      <c r="L50" s="167">
        <f>'CAC Inc Stmt'!L50+'AL Inc Stmt'!L50+'ESL Inc Stmt'!L50</f>
        <v>160.58000000000001</v>
      </c>
      <c r="M50" s="148">
        <f>'CAC Inc Stmt'!M50+'AL Inc Stmt'!M50+'ESL Inc Stmt'!M50</f>
        <v>-800</v>
      </c>
      <c r="N50" s="148">
        <f>'CAC Inc Stmt'!N50+'AL Inc Stmt'!N50+'ESL Inc Stmt'!N50</f>
        <v>369.55</v>
      </c>
      <c r="O50" s="148">
        <f>'CAC Inc Stmt'!O50+'AL Inc Stmt'!O50+'ESL Inc Stmt'!O50</f>
        <v>0</v>
      </c>
      <c r="P50" s="150">
        <f>'CAC Inc Stmt'!P50+'AL Inc Stmt'!P50+'ESL Inc Stmt'!P50</f>
        <v>-269.86999999999995</v>
      </c>
      <c r="Q50" s="151">
        <f>'CAC Inc Stmt'!Q50+'AL Inc Stmt'!Q50+'ESL Inc Stmt'!Q50</f>
        <v>1000</v>
      </c>
      <c r="R50" s="152">
        <f t="shared" si="12"/>
        <v>-1269.8699999999999</v>
      </c>
      <c r="S50" s="173">
        <f t="shared" si="13"/>
        <v>-0.26986999999999994</v>
      </c>
      <c r="T50" s="154">
        <f t="shared" si="14"/>
        <v>-1813.5099999999998</v>
      </c>
      <c r="U50" s="170">
        <f t="shared" si="15"/>
        <v>-0.17482703220958254</v>
      </c>
    </row>
    <row r="51" spans="2:21" outlineLevel="1" x14ac:dyDescent="0.2">
      <c r="B51" s="116" t="s">
        <v>225</v>
      </c>
      <c r="F51" s="156" t="s">
        <v>210</v>
      </c>
      <c r="G51" s="166">
        <f>'CAC Inc Stmt'!G51+'AL Inc Stmt'!G51+'ESL Inc Stmt'!G51</f>
        <v>4838</v>
      </c>
      <c r="H51" s="85">
        <f>'CAC Inc Stmt'!H51+'AL Inc Stmt'!H51+'ESL Inc Stmt'!H51</f>
        <v>172</v>
      </c>
      <c r="I51" s="83">
        <f>'CAC Inc Stmt'!I51+'AL Inc Stmt'!I51+'ESL Inc Stmt'!I51</f>
        <v>3586</v>
      </c>
      <c r="J51" s="83">
        <f>'CAC Inc Stmt'!J51+'AL Inc Stmt'!J51+'ESL Inc Stmt'!J51</f>
        <v>4907</v>
      </c>
      <c r="K51" s="15">
        <f>'CAC Inc Stmt'!K51+'AL Inc Stmt'!K51+'ESL Inc Stmt'!K51</f>
        <v>6430</v>
      </c>
      <c r="L51" s="167">
        <f>'CAC Inc Stmt'!L51+'AL Inc Stmt'!L51+'ESL Inc Stmt'!L51</f>
        <v>172</v>
      </c>
      <c r="M51" s="148">
        <f>'CAC Inc Stmt'!M51+'AL Inc Stmt'!M51+'ESL Inc Stmt'!M51</f>
        <v>3414</v>
      </c>
      <c r="N51" s="148">
        <f>'CAC Inc Stmt'!N51+'AL Inc Stmt'!N51+'ESL Inc Stmt'!N51</f>
        <v>1321</v>
      </c>
      <c r="O51" s="148">
        <f>'CAC Inc Stmt'!O51+'AL Inc Stmt'!O51+'ESL Inc Stmt'!O51</f>
        <v>1523</v>
      </c>
      <c r="P51" s="150">
        <f>'CAC Inc Stmt'!P51+'AL Inc Stmt'!P51+'ESL Inc Stmt'!P51</f>
        <v>6430</v>
      </c>
      <c r="Q51" s="151">
        <f>'CAC Inc Stmt'!Q51+'AL Inc Stmt'!Q51+'ESL Inc Stmt'!Q51</f>
        <v>5470</v>
      </c>
      <c r="R51" s="152">
        <f t="shared" si="12"/>
        <v>960</v>
      </c>
      <c r="S51" s="173">
        <f t="shared" si="13"/>
        <v>1.1755027422303475</v>
      </c>
      <c r="T51" s="154">
        <f t="shared" si="14"/>
        <v>1592</v>
      </c>
      <c r="U51" s="170">
        <f t="shared" si="15"/>
        <v>1.3290615957007028</v>
      </c>
    </row>
    <row r="52" spans="2:21" outlineLevel="1" x14ac:dyDescent="0.2">
      <c r="B52" s="116" t="s">
        <v>222</v>
      </c>
      <c r="E52" s="184"/>
      <c r="F52" s="156"/>
      <c r="G52" s="166">
        <f>'CAC Inc Stmt'!G52+'AL Inc Stmt'!G52+'ESL Inc Stmt'!G52</f>
        <v>22778.94</v>
      </c>
      <c r="H52" s="85">
        <f>'CAC Inc Stmt'!H52+'AL Inc Stmt'!H52+'ESL Inc Stmt'!H52</f>
        <v>3383.9</v>
      </c>
      <c r="I52" s="85">
        <f>'CAC Inc Stmt'!I52+'AL Inc Stmt'!I52+'ESL Inc Stmt'!I52</f>
        <v>6988.05</v>
      </c>
      <c r="J52" s="83">
        <f>'CAC Inc Stmt'!J52+'AL Inc Stmt'!J52+'ESL Inc Stmt'!J52</f>
        <v>11859.369999999999</v>
      </c>
      <c r="K52" s="15">
        <f>'CAC Inc Stmt'!K52+'AL Inc Stmt'!K52+'ESL Inc Stmt'!K52</f>
        <v>16425.16</v>
      </c>
      <c r="L52" s="167">
        <f>'CAC Inc Stmt'!L52+'AL Inc Stmt'!L52+'ESL Inc Stmt'!L52</f>
        <v>3383.9</v>
      </c>
      <c r="M52" s="148">
        <f>'CAC Inc Stmt'!M52+'AL Inc Stmt'!M52+'ESL Inc Stmt'!M52</f>
        <v>3604.15</v>
      </c>
      <c r="N52" s="148">
        <f>'CAC Inc Stmt'!N52+'AL Inc Stmt'!N52+'ESL Inc Stmt'!N52</f>
        <v>4871.32</v>
      </c>
      <c r="O52" s="148">
        <f>'CAC Inc Stmt'!O52+'AL Inc Stmt'!O52+'ESL Inc Stmt'!O52</f>
        <v>4565.79</v>
      </c>
      <c r="P52" s="150">
        <f>'CAC Inc Stmt'!P52+'AL Inc Stmt'!P52+'ESL Inc Stmt'!P52</f>
        <v>16425.16</v>
      </c>
      <c r="Q52" s="151">
        <f>'CAC Inc Stmt'!Q52+'AL Inc Stmt'!Q52+'ESL Inc Stmt'!Q52</f>
        <v>19772</v>
      </c>
      <c r="R52" s="152">
        <f t="shared" si="12"/>
        <v>-3346.84</v>
      </c>
      <c r="S52" s="173">
        <f t="shared" si="13"/>
        <v>0.83072830265021247</v>
      </c>
      <c r="T52" s="154">
        <f t="shared" si="14"/>
        <v>-6353.7799999999988</v>
      </c>
      <c r="U52" s="170">
        <f t="shared" si="15"/>
        <v>0.72106779332137494</v>
      </c>
    </row>
    <row r="53" spans="2:21" outlineLevel="1" x14ac:dyDescent="0.2">
      <c r="B53" s="116" t="s">
        <v>223</v>
      </c>
      <c r="E53" s="184"/>
      <c r="F53" s="156"/>
      <c r="G53" s="166">
        <f>'CAC Inc Stmt'!G53+'AL Inc Stmt'!G53+'ESL Inc Stmt'!G53</f>
        <v>7975.71</v>
      </c>
      <c r="H53" s="85">
        <f>'CAC Inc Stmt'!H53+'AL Inc Stmt'!H53+'ESL Inc Stmt'!H53</f>
        <v>2634</v>
      </c>
      <c r="I53" s="85">
        <f>'CAC Inc Stmt'!I53+'AL Inc Stmt'!I53+'ESL Inc Stmt'!I53</f>
        <v>4931</v>
      </c>
      <c r="J53" s="83">
        <f>'CAC Inc Stmt'!J53+'AL Inc Stmt'!J53+'ESL Inc Stmt'!J53</f>
        <v>6677</v>
      </c>
      <c r="K53" s="15">
        <f>'CAC Inc Stmt'!K53+'AL Inc Stmt'!K53+'ESL Inc Stmt'!K53</f>
        <v>9302</v>
      </c>
      <c r="L53" s="167">
        <f>'CAC Inc Stmt'!L53+'AL Inc Stmt'!L53+'ESL Inc Stmt'!L53</f>
        <v>2634</v>
      </c>
      <c r="M53" s="148">
        <f>'CAC Inc Stmt'!M53+'AL Inc Stmt'!M53+'ESL Inc Stmt'!M53</f>
        <v>2297</v>
      </c>
      <c r="N53" s="148">
        <f>'CAC Inc Stmt'!N53+'AL Inc Stmt'!N53+'ESL Inc Stmt'!N53</f>
        <v>1746</v>
      </c>
      <c r="O53" s="148">
        <f>'CAC Inc Stmt'!O53+'AL Inc Stmt'!O53+'ESL Inc Stmt'!O53</f>
        <v>2625</v>
      </c>
      <c r="P53" s="150">
        <f>'CAC Inc Stmt'!P53+'AL Inc Stmt'!P53+'ESL Inc Stmt'!P53</f>
        <v>9302</v>
      </c>
      <c r="Q53" s="151">
        <f>'CAC Inc Stmt'!Q53+'AL Inc Stmt'!Q53+'ESL Inc Stmt'!Q53</f>
        <v>7861</v>
      </c>
      <c r="R53" s="152">
        <f t="shared" si="12"/>
        <v>1441</v>
      </c>
      <c r="S53" s="173">
        <f t="shared" si="13"/>
        <v>1.183310011448925</v>
      </c>
      <c r="T53" s="154">
        <f t="shared" si="14"/>
        <v>1326.29</v>
      </c>
      <c r="U53" s="170">
        <f t="shared" si="15"/>
        <v>1.1662911515087684</v>
      </c>
    </row>
    <row r="54" spans="2:21" outlineLevel="1" x14ac:dyDescent="0.2">
      <c r="B54" s="116" t="s">
        <v>92</v>
      </c>
      <c r="E54" s="184"/>
      <c r="F54" s="156"/>
      <c r="G54" s="166">
        <f>'CAC Inc Stmt'!G54+'AL Inc Stmt'!G54+'ESL Inc Stmt'!G54</f>
        <v>17413.2</v>
      </c>
      <c r="H54" s="85">
        <f>'CAC Inc Stmt'!H54+'AL Inc Stmt'!H54+'ESL Inc Stmt'!H54</f>
        <v>18129.2</v>
      </c>
      <c r="I54" s="85">
        <f>'CAC Inc Stmt'!I54+'AL Inc Stmt'!I54+'ESL Inc Stmt'!I54</f>
        <v>18129.2</v>
      </c>
      <c r="J54" s="83">
        <f>'CAC Inc Stmt'!J54+'AL Inc Stmt'!J54+'ESL Inc Stmt'!J54</f>
        <v>18129.2</v>
      </c>
      <c r="K54" s="15">
        <f>'CAC Inc Stmt'!K54+'AL Inc Stmt'!K54+'ESL Inc Stmt'!K54</f>
        <v>18129.2</v>
      </c>
      <c r="L54" s="167">
        <f>'CAC Inc Stmt'!L54+'AL Inc Stmt'!L54+'ESL Inc Stmt'!L54</f>
        <v>18129.2</v>
      </c>
      <c r="M54" s="148">
        <f>'CAC Inc Stmt'!M54+'AL Inc Stmt'!M54+'ESL Inc Stmt'!M54</f>
        <v>0</v>
      </c>
      <c r="N54" s="148">
        <f>'CAC Inc Stmt'!N54+'AL Inc Stmt'!N54+'ESL Inc Stmt'!N54</f>
        <v>0</v>
      </c>
      <c r="O54" s="148">
        <f>'CAC Inc Stmt'!O54+'AL Inc Stmt'!O54+'ESL Inc Stmt'!O54</f>
        <v>0</v>
      </c>
      <c r="P54" s="150">
        <f>'CAC Inc Stmt'!P54+'AL Inc Stmt'!P54+'ESL Inc Stmt'!P54</f>
        <v>18129.2</v>
      </c>
      <c r="Q54" s="151">
        <f>'CAC Inc Stmt'!Q54+'AL Inc Stmt'!Q54+'ESL Inc Stmt'!Q54</f>
        <v>18462</v>
      </c>
      <c r="R54" s="152">
        <f t="shared" si="12"/>
        <v>-332.79999999999927</v>
      </c>
      <c r="S54" s="173">
        <f t="shared" si="13"/>
        <v>0.98197378398873369</v>
      </c>
      <c r="T54" s="154">
        <f t="shared" si="14"/>
        <v>716</v>
      </c>
      <c r="U54" s="170">
        <f t="shared" si="15"/>
        <v>1.0411182321457286</v>
      </c>
    </row>
    <row r="55" spans="2:21" outlineLevel="1" x14ac:dyDescent="0.2">
      <c r="B55" s="116" t="s">
        <v>226</v>
      </c>
      <c r="F55" s="156"/>
      <c r="G55" s="166">
        <f>'CAC Inc Stmt'!G55+'AL Inc Stmt'!G55+'ESL Inc Stmt'!G55</f>
        <v>1330</v>
      </c>
      <c r="H55" s="85">
        <f>'CAC Inc Stmt'!H55+'AL Inc Stmt'!H55+'ESL Inc Stmt'!H55</f>
        <v>1401</v>
      </c>
      <c r="I55" s="83">
        <f>'CAC Inc Stmt'!I55+'AL Inc Stmt'!I55+'ESL Inc Stmt'!I55</f>
        <v>1401</v>
      </c>
      <c r="J55" s="83">
        <f>'CAC Inc Stmt'!J55+'AL Inc Stmt'!J55+'ESL Inc Stmt'!J55</f>
        <v>1401</v>
      </c>
      <c r="K55" s="15">
        <f>'CAC Inc Stmt'!K55+'AL Inc Stmt'!K55+'ESL Inc Stmt'!K55</f>
        <v>1401</v>
      </c>
      <c r="L55" s="167">
        <f>'CAC Inc Stmt'!L55+'AL Inc Stmt'!L55+'ESL Inc Stmt'!L55</f>
        <v>1401</v>
      </c>
      <c r="M55" s="148">
        <f>'CAC Inc Stmt'!M55+'AL Inc Stmt'!M55+'ESL Inc Stmt'!M55</f>
        <v>0</v>
      </c>
      <c r="N55" s="148">
        <f>'CAC Inc Stmt'!N55+'AL Inc Stmt'!N55+'ESL Inc Stmt'!N55</f>
        <v>0</v>
      </c>
      <c r="O55" s="148">
        <f>'CAC Inc Stmt'!O55+'AL Inc Stmt'!O55+'ESL Inc Stmt'!O55</f>
        <v>0</v>
      </c>
      <c r="P55" s="150">
        <f>'CAC Inc Stmt'!P55+'AL Inc Stmt'!P55+'ESL Inc Stmt'!P55</f>
        <v>1401</v>
      </c>
      <c r="Q55" s="151">
        <f>'CAC Inc Stmt'!Q55+'AL Inc Stmt'!Q55+'ESL Inc Stmt'!Q55</f>
        <v>2130</v>
      </c>
      <c r="R55" s="152">
        <f t="shared" si="12"/>
        <v>-729</v>
      </c>
      <c r="S55" s="173">
        <f t="shared" si="13"/>
        <v>0.65774647887323945</v>
      </c>
      <c r="T55" s="154">
        <f t="shared" si="14"/>
        <v>71</v>
      </c>
      <c r="U55" s="170">
        <f t="shared" si="15"/>
        <v>1.0533834586466166</v>
      </c>
    </row>
    <row r="56" spans="2:21" outlineLevel="1" x14ac:dyDescent="0.2">
      <c r="B56" s="116" t="s">
        <v>6</v>
      </c>
      <c r="F56" s="156">
        <v>8222</v>
      </c>
      <c r="G56" s="166">
        <f>'CAC Inc Stmt'!G56+'AL Inc Stmt'!G56+'ESL Inc Stmt'!G56</f>
        <v>4102</v>
      </c>
      <c r="H56" s="85">
        <f>'CAC Inc Stmt'!H56+'AL Inc Stmt'!H56+'ESL Inc Stmt'!H56</f>
        <v>980</v>
      </c>
      <c r="I56" s="83">
        <f>'CAC Inc Stmt'!I56+'AL Inc Stmt'!I56+'ESL Inc Stmt'!I56</f>
        <v>2063</v>
      </c>
      <c r="J56" s="83">
        <f>'CAC Inc Stmt'!J56+'AL Inc Stmt'!J56+'ESL Inc Stmt'!J56</f>
        <v>3116</v>
      </c>
      <c r="K56" s="15">
        <f>'CAC Inc Stmt'!K56+'AL Inc Stmt'!K56+'ESL Inc Stmt'!K56</f>
        <v>3961</v>
      </c>
      <c r="L56" s="167">
        <f>'CAC Inc Stmt'!L56+'AL Inc Stmt'!L56+'ESL Inc Stmt'!L56</f>
        <v>980</v>
      </c>
      <c r="M56" s="148">
        <f>'CAC Inc Stmt'!M56+'AL Inc Stmt'!M56+'ESL Inc Stmt'!M56</f>
        <v>1083</v>
      </c>
      <c r="N56" s="148">
        <f>'CAC Inc Stmt'!N56+'AL Inc Stmt'!N56+'ESL Inc Stmt'!N56</f>
        <v>1053</v>
      </c>
      <c r="O56" s="148">
        <f>'CAC Inc Stmt'!O56+'AL Inc Stmt'!O56+'ESL Inc Stmt'!O56</f>
        <v>845</v>
      </c>
      <c r="P56" s="150">
        <f>'CAC Inc Stmt'!P56+'AL Inc Stmt'!P56+'ESL Inc Stmt'!P56</f>
        <v>3961</v>
      </c>
      <c r="Q56" s="151">
        <f>'CAC Inc Stmt'!Q56+'AL Inc Stmt'!Q56+'ESL Inc Stmt'!Q56</f>
        <v>4338</v>
      </c>
      <c r="R56" s="152">
        <f t="shared" si="12"/>
        <v>-377</v>
      </c>
      <c r="S56" s="173">
        <f t="shared" si="13"/>
        <v>0.91309359151682801</v>
      </c>
      <c r="T56" s="154">
        <f t="shared" si="14"/>
        <v>-141</v>
      </c>
      <c r="U56" s="170">
        <f t="shared" si="15"/>
        <v>0.96562652364700141</v>
      </c>
    </row>
    <row r="57" spans="2:21" outlineLevel="1" x14ac:dyDescent="0.2">
      <c r="B57" s="116" t="s">
        <v>227</v>
      </c>
      <c r="F57" s="156">
        <v>8224</v>
      </c>
      <c r="G57" s="166">
        <f>'CAC Inc Stmt'!G57+'AL Inc Stmt'!G57+'ESL Inc Stmt'!G57</f>
        <v>106</v>
      </c>
      <c r="H57" s="85">
        <f>'CAC Inc Stmt'!H57+'AL Inc Stmt'!H57+'ESL Inc Stmt'!H57</f>
        <v>0</v>
      </c>
      <c r="I57" s="83">
        <f>'CAC Inc Stmt'!I57+'AL Inc Stmt'!I57+'ESL Inc Stmt'!I57</f>
        <v>0</v>
      </c>
      <c r="J57" s="83">
        <f>'CAC Inc Stmt'!J57+'AL Inc Stmt'!J57+'ESL Inc Stmt'!J57</f>
        <v>0</v>
      </c>
      <c r="K57" s="15">
        <f>'CAC Inc Stmt'!K57+'AL Inc Stmt'!K57+'ESL Inc Stmt'!K57</f>
        <v>0</v>
      </c>
      <c r="L57" s="167">
        <f>'CAC Inc Stmt'!L57+'AL Inc Stmt'!L57+'ESL Inc Stmt'!L57</f>
        <v>0</v>
      </c>
      <c r="M57" s="148">
        <f>'CAC Inc Stmt'!M57+'AL Inc Stmt'!M57+'ESL Inc Stmt'!M57</f>
        <v>0</v>
      </c>
      <c r="N57" s="148">
        <f>'CAC Inc Stmt'!N57+'AL Inc Stmt'!N57+'ESL Inc Stmt'!N57</f>
        <v>0</v>
      </c>
      <c r="O57" s="148">
        <f>'CAC Inc Stmt'!O57+'AL Inc Stmt'!O57+'ESL Inc Stmt'!O57</f>
        <v>0</v>
      </c>
      <c r="P57" s="150">
        <f>'CAC Inc Stmt'!P57+'AL Inc Stmt'!P57+'ESL Inc Stmt'!P57</f>
        <v>0</v>
      </c>
      <c r="Q57" s="151">
        <f>'CAC Inc Stmt'!Q57+'AL Inc Stmt'!Q57+'ESL Inc Stmt'!Q57</f>
        <v>619</v>
      </c>
      <c r="R57" s="152">
        <f t="shared" si="12"/>
        <v>-619</v>
      </c>
      <c r="S57" s="173">
        <f t="shared" si="13"/>
        <v>0</v>
      </c>
      <c r="T57" s="154">
        <f t="shared" si="14"/>
        <v>-106</v>
      </c>
      <c r="U57" s="170">
        <f t="shared" si="15"/>
        <v>0</v>
      </c>
    </row>
    <row r="58" spans="2:21" outlineLevel="1" x14ac:dyDescent="0.2">
      <c r="B58" s="116" t="s">
        <v>228</v>
      </c>
      <c r="F58" s="156">
        <v>8116</v>
      </c>
      <c r="G58" s="166">
        <f>'CAC Inc Stmt'!G58+'AL Inc Stmt'!G58+'ESL Inc Stmt'!G58</f>
        <v>6680.4400000000005</v>
      </c>
      <c r="H58" s="85">
        <f>'CAC Inc Stmt'!H58+'AL Inc Stmt'!H58+'ESL Inc Stmt'!H58</f>
        <v>1391</v>
      </c>
      <c r="I58" s="83">
        <f>'CAC Inc Stmt'!I58+'AL Inc Stmt'!I58+'ESL Inc Stmt'!I58</f>
        <v>2475</v>
      </c>
      <c r="J58" s="83">
        <f>'CAC Inc Stmt'!J58+'AL Inc Stmt'!J58+'ESL Inc Stmt'!J58</f>
        <v>4489</v>
      </c>
      <c r="K58" s="16">
        <f>'CAC Inc Stmt'!K58+'AL Inc Stmt'!K58+'ESL Inc Stmt'!K58</f>
        <v>5267</v>
      </c>
      <c r="L58" s="167">
        <f>'CAC Inc Stmt'!L58+'AL Inc Stmt'!L58+'ESL Inc Stmt'!L58</f>
        <v>1391</v>
      </c>
      <c r="M58" s="148">
        <f>'CAC Inc Stmt'!M58+'AL Inc Stmt'!M58+'ESL Inc Stmt'!M58</f>
        <v>1084</v>
      </c>
      <c r="N58" s="148">
        <f>'CAC Inc Stmt'!N58+'AL Inc Stmt'!N58+'ESL Inc Stmt'!N58</f>
        <v>2014</v>
      </c>
      <c r="O58" s="148">
        <f>'CAC Inc Stmt'!O58+'AL Inc Stmt'!O58+'ESL Inc Stmt'!O58</f>
        <v>778</v>
      </c>
      <c r="P58" s="150">
        <f>'CAC Inc Stmt'!P58+'AL Inc Stmt'!P58+'ESL Inc Stmt'!P58</f>
        <v>5267</v>
      </c>
      <c r="Q58" s="151">
        <f>'CAC Inc Stmt'!Q58+'AL Inc Stmt'!Q58+'ESL Inc Stmt'!Q58</f>
        <v>5649</v>
      </c>
      <c r="R58" s="152">
        <f t="shared" si="12"/>
        <v>-382</v>
      </c>
      <c r="S58" s="173">
        <f t="shared" si="13"/>
        <v>0.93237741193131529</v>
      </c>
      <c r="T58" s="154">
        <f t="shared" si="14"/>
        <v>-1413.4400000000005</v>
      </c>
      <c r="U58" s="170">
        <f t="shared" si="15"/>
        <v>0.78842112196202641</v>
      </c>
    </row>
    <row r="59" spans="2:21" outlineLevel="1" x14ac:dyDescent="0.2">
      <c r="B59" s="116" t="s">
        <v>229</v>
      </c>
      <c r="F59" s="156">
        <v>8540</v>
      </c>
      <c r="G59" s="166">
        <f>'CAC Inc Stmt'!G59+'AL Inc Stmt'!G59+'ESL Inc Stmt'!G59</f>
        <v>953</v>
      </c>
      <c r="H59" s="85">
        <f>'CAC Inc Stmt'!H59+'AL Inc Stmt'!H59+'ESL Inc Stmt'!H59</f>
        <v>98</v>
      </c>
      <c r="I59" s="83">
        <f>'CAC Inc Stmt'!I59+'AL Inc Stmt'!I59+'ESL Inc Stmt'!I59</f>
        <v>98</v>
      </c>
      <c r="J59" s="83">
        <f>'CAC Inc Stmt'!J59+'AL Inc Stmt'!J59+'ESL Inc Stmt'!J59</f>
        <v>174</v>
      </c>
      <c r="K59" s="15">
        <f>'CAC Inc Stmt'!K59+'AL Inc Stmt'!K59+'ESL Inc Stmt'!K59</f>
        <v>200</v>
      </c>
      <c r="L59" s="167">
        <f>'CAC Inc Stmt'!L59+'AL Inc Stmt'!L59+'ESL Inc Stmt'!L59</f>
        <v>98</v>
      </c>
      <c r="M59" s="148">
        <f>'CAC Inc Stmt'!M59+'AL Inc Stmt'!M59+'ESL Inc Stmt'!M59</f>
        <v>0</v>
      </c>
      <c r="N59" s="148">
        <f>'CAC Inc Stmt'!N59+'AL Inc Stmt'!N59+'ESL Inc Stmt'!N59</f>
        <v>76</v>
      </c>
      <c r="O59" s="148">
        <f>'CAC Inc Stmt'!O59+'AL Inc Stmt'!O59+'ESL Inc Stmt'!O59</f>
        <v>26</v>
      </c>
      <c r="P59" s="150">
        <f>'CAC Inc Stmt'!P59+'AL Inc Stmt'!P59+'ESL Inc Stmt'!P59</f>
        <v>200</v>
      </c>
      <c r="Q59" s="151">
        <f>'CAC Inc Stmt'!Q59+'AL Inc Stmt'!Q59+'ESL Inc Stmt'!Q59</f>
        <v>682</v>
      </c>
      <c r="R59" s="152">
        <f t="shared" si="12"/>
        <v>-482</v>
      </c>
      <c r="S59" s="173">
        <f t="shared" si="13"/>
        <v>0.2932551319648094</v>
      </c>
      <c r="T59" s="154">
        <f t="shared" si="14"/>
        <v>-753</v>
      </c>
      <c r="U59" s="170">
        <f t="shared" si="15"/>
        <v>0.20986358866736621</v>
      </c>
    </row>
    <row r="60" spans="2:21" outlineLevel="1" x14ac:dyDescent="0.2">
      <c r="B60" s="116" t="s">
        <v>89</v>
      </c>
      <c r="F60" s="156">
        <v>8117</v>
      </c>
      <c r="G60" s="166">
        <f>'CAC Inc Stmt'!G60+'AL Inc Stmt'!G60+'ESL Inc Stmt'!G60</f>
        <v>813</v>
      </c>
      <c r="H60" s="85">
        <f>'CAC Inc Stmt'!H60+'AL Inc Stmt'!H60+'ESL Inc Stmt'!H60</f>
        <v>0</v>
      </c>
      <c r="I60" s="83">
        <f>'CAC Inc Stmt'!I60+'AL Inc Stmt'!I60+'ESL Inc Stmt'!I60</f>
        <v>0</v>
      </c>
      <c r="J60" s="83">
        <f>'CAC Inc Stmt'!J60+'AL Inc Stmt'!J60+'ESL Inc Stmt'!J60</f>
        <v>537</v>
      </c>
      <c r="K60" s="15">
        <f>'CAC Inc Stmt'!K60+'AL Inc Stmt'!K60+'ESL Inc Stmt'!K60</f>
        <v>537</v>
      </c>
      <c r="L60" s="167">
        <f>'CAC Inc Stmt'!L60+'AL Inc Stmt'!L60+'ESL Inc Stmt'!L60</f>
        <v>0</v>
      </c>
      <c r="M60" s="148">
        <f>'CAC Inc Stmt'!M60+'AL Inc Stmt'!M60+'ESL Inc Stmt'!M60</f>
        <v>0</v>
      </c>
      <c r="N60" s="148">
        <f>'CAC Inc Stmt'!N60+'AL Inc Stmt'!N60+'ESL Inc Stmt'!N60</f>
        <v>537</v>
      </c>
      <c r="O60" s="148">
        <f>'CAC Inc Stmt'!O60+'AL Inc Stmt'!O60+'ESL Inc Stmt'!O60</f>
        <v>0</v>
      </c>
      <c r="P60" s="150">
        <f>'CAC Inc Stmt'!P60+'AL Inc Stmt'!P60+'ESL Inc Stmt'!P60</f>
        <v>537</v>
      </c>
      <c r="Q60" s="151">
        <f>'CAC Inc Stmt'!Q60+'AL Inc Stmt'!Q60+'ESL Inc Stmt'!Q60</f>
        <v>800</v>
      </c>
      <c r="R60" s="152">
        <f t="shared" si="12"/>
        <v>-263</v>
      </c>
      <c r="S60" s="173">
        <f t="shared" si="13"/>
        <v>0.67125000000000001</v>
      </c>
      <c r="T60" s="154">
        <f t="shared" si="14"/>
        <v>-276</v>
      </c>
      <c r="U60" s="170">
        <f t="shared" si="15"/>
        <v>0.66051660516605171</v>
      </c>
    </row>
    <row r="61" spans="2:21" outlineLevel="1" x14ac:dyDescent="0.2">
      <c r="B61" s="116" t="s">
        <v>90</v>
      </c>
      <c r="F61" s="156" t="s">
        <v>209</v>
      </c>
      <c r="G61" s="166">
        <f>'CAC Inc Stmt'!G61+'AL Inc Stmt'!G61+'ESL Inc Stmt'!G61</f>
        <v>0</v>
      </c>
      <c r="H61" s="85">
        <f>'CAC Inc Stmt'!H61+'AL Inc Stmt'!H61+'ESL Inc Stmt'!H61</f>
        <v>0</v>
      </c>
      <c r="I61" s="83">
        <f>'CAC Inc Stmt'!I61+'AL Inc Stmt'!I61+'ESL Inc Stmt'!I61</f>
        <v>0</v>
      </c>
      <c r="J61" s="83">
        <f>'CAC Inc Stmt'!J61+'AL Inc Stmt'!J61+'ESL Inc Stmt'!J61</f>
        <v>0</v>
      </c>
      <c r="K61" s="15">
        <f>'CAC Inc Stmt'!K61+'AL Inc Stmt'!K61+'ESL Inc Stmt'!K61</f>
        <v>0</v>
      </c>
      <c r="L61" s="167">
        <f>'CAC Inc Stmt'!L61+'AL Inc Stmt'!L61+'ESL Inc Stmt'!L61</f>
        <v>0</v>
      </c>
      <c r="M61" s="148">
        <f>'CAC Inc Stmt'!M61+'AL Inc Stmt'!M61+'ESL Inc Stmt'!M61</f>
        <v>0</v>
      </c>
      <c r="N61" s="148">
        <f>'CAC Inc Stmt'!N61+'AL Inc Stmt'!N61+'ESL Inc Stmt'!N61</f>
        <v>0</v>
      </c>
      <c r="O61" s="148">
        <f>'CAC Inc Stmt'!O61+'AL Inc Stmt'!O61+'ESL Inc Stmt'!O61</f>
        <v>0</v>
      </c>
      <c r="P61" s="150">
        <f>'CAC Inc Stmt'!P61+'AL Inc Stmt'!P61+'ESL Inc Stmt'!P61</f>
        <v>0</v>
      </c>
      <c r="Q61" s="151">
        <f>'CAC Inc Stmt'!Q61+'AL Inc Stmt'!Q61+'ESL Inc Stmt'!Q61</f>
        <v>0</v>
      </c>
      <c r="R61" s="152">
        <f t="shared" si="12"/>
        <v>0</v>
      </c>
      <c r="S61" s="173" t="str">
        <f t="shared" si="13"/>
        <v/>
      </c>
      <c r="T61" s="154">
        <f t="shared" si="14"/>
        <v>0</v>
      </c>
      <c r="U61" s="170" t="str">
        <f t="shared" si="15"/>
        <v/>
      </c>
    </row>
    <row r="62" spans="2:21" outlineLevel="1" x14ac:dyDescent="0.2">
      <c r="B62" s="116" t="s">
        <v>88</v>
      </c>
      <c r="F62" s="156">
        <v>8231</v>
      </c>
      <c r="G62" s="166">
        <f>'CAC Inc Stmt'!G62+'AL Inc Stmt'!G62+'ESL Inc Stmt'!G62</f>
        <v>6549</v>
      </c>
      <c r="H62" s="85">
        <f>'CAC Inc Stmt'!H62+'AL Inc Stmt'!H62+'ESL Inc Stmt'!H62</f>
        <v>0</v>
      </c>
      <c r="I62" s="83">
        <f>'CAC Inc Stmt'!I62+'AL Inc Stmt'!I62+'ESL Inc Stmt'!I62</f>
        <v>0</v>
      </c>
      <c r="J62" s="83">
        <f>'CAC Inc Stmt'!J62+'AL Inc Stmt'!J62+'ESL Inc Stmt'!J62</f>
        <v>6884</v>
      </c>
      <c r="K62" s="15">
        <f>'CAC Inc Stmt'!K62+'AL Inc Stmt'!K62+'ESL Inc Stmt'!K62</f>
        <v>6884</v>
      </c>
      <c r="L62" s="167">
        <f>'CAC Inc Stmt'!L62+'AL Inc Stmt'!L62+'ESL Inc Stmt'!L62</f>
        <v>0</v>
      </c>
      <c r="M62" s="148">
        <f>'CAC Inc Stmt'!M62+'AL Inc Stmt'!M62+'ESL Inc Stmt'!M62</f>
        <v>0</v>
      </c>
      <c r="N62" s="148">
        <f>'CAC Inc Stmt'!N62+'AL Inc Stmt'!N62+'ESL Inc Stmt'!N62</f>
        <v>6884</v>
      </c>
      <c r="O62" s="148">
        <f>'CAC Inc Stmt'!O62+'AL Inc Stmt'!O62+'ESL Inc Stmt'!O62</f>
        <v>0</v>
      </c>
      <c r="P62" s="150">
        <f>'CAC Inc Stmt'!P62+'AL Inc Stmt'!P62+'ESL Inc Stmt'!P62</f>
        <v>6884</v>
      </c>
      <c r="Q62" s="151">
        <f>'CAC Inc Stmt'!Q62+'AL Inc Stmt'!Q62+'ESL Inc Stmt'!Q62</f>
        <v>6594</v>
      </c>
      <c r="R62" s="152">
        <f t="shared" si="12"/>
        <v>290</v>
      </c>
      <c r="S62" s="173">
        <f t="shared" si="13"/>
        <v>1.0439793751895663</v>
      </c>
      <c r="T62" s="154">
        <f t="shared" si="14"/>
        <v>335</v>
      </c>
      <c r="U62" s="170">
        <f t="shared" si="15"/>
        <v>1.0511528477630172</v>
      </c>
    </row>
    <row r="63" spans="2:21" outlineLevel="1" x14ac:dyDescent="0.2">
      <c r="B63" s="116" t="s">
        <v>11</v>
      </c>
      <c r="F63" s="156"/>
      <c r="G63" s="166">
        <f>'CAC Inc Stmt'!G63+'AL Inc Stmt'!G63+'ESL Inc Stmt'!G63</f>
        <v>1793.26</v>
      </c>
      <c r="H63" s="85">
        <f>'CAC Inc Stmt'!H63+'AL Inc Stmt'!H63+'ESL Inc Stmt'!H63</f>
        <v>-782.38</v>
      </c>
      <c r="I63" s="83">
        <f>'CAC Inc Stmt'!I63+'AL Inc Stmt'!I63+'ESL Inc Stmt'!I63</f>
        <v>-566.08000000000004</v>
      </c>
      <c r="J63" s="83">
        <f>'CAC Inc Stmt'!J63+'AL Inc Stmt'!J63+'ESL Inc Stmt'!J63</f>
        <v>-33.129999999999995</v>
      </c>
      <c r="K63" s="15">
        <f>'CAC Inc Stmt'!K63+'AL Inc Stmt'!K63+'ESL Inc Stmt'!K63</f>
        <v>-90.779999999999973</v>
      </c>
      <c r="L63" s="167">
        <f>'CAC Inc Stmt'!L63+'AL Inc Stmt'!L63+'ESL Inc Stmt'!L63</f>
        <v>-782.38</v>
      </c>
      <c r="M63" s="148">
        <f>'CAC Inc Stmt'!M63+'AL Inc Stmt'!M63+'ESL Inc Stmt'!M63</f>
        <v>216.29999999999995</v>
      </c>
      <c r="N63" s="148">
        <f>'CAC Inc Stmt'!N63+'AL Inc Stmt'!N63+'ESL Inc Stmt'!N63</f>
        <v>532.95000000000005</v>
      </c>
      <c r="O63" s="148">
        <f>'CAC Inc Stmt'!O63+'AL Inc Stmt'!O63+'ESL Inc Stmt'!O63</f>
        <v>-57.649999999999977</v>
      </c>
      <c r="P63" s="150">
        <f>'CAC Inc Stmt'!P63+'AL Inc Stmt'!P63+'ESL Inc Stmt'!P63</f>
        <v>-90.779999999999973</v>
      </c>
      <c r="Q63" s="151">
        <f>'CAC Inc Stmt'!Q63+'AL Inc Stmt'!Q63+'ESL Inc Stmt'!Q63</f>
        <v>1000</v>
      </c>
      <c r="R63" s="152">
        <f t="shared" si="12"/>
        <v>-1090.78</v>
      </c>
      <c r="S63" s="173">
        <f t="shared" si="13"/>
        <v>-9.0779999999999972E-2</v>
      </c>
      <c r="T63" s="154">
        <f t="shared" si="14"/>
        <v>-1884.04</v>
      </c>
      <c r="U63" s="170">
        <f t="shared" si="15"/>
        <v>-5.0622887924785011E-2</v>
      </c>
    </row>
    <row r="64" spans="2:21" outlineLevel="1" x14ac:dyDescent="0.2">
      <c r="B64" s="116" t="s">
        <v>12</v>
      </c>
      <c r="F64" s="156"/>
      <c r="G64" s="166">
        <f>'CAC Inc Stmt'!G64+'AL Inc Stmt'!G64+'ESL Inc Stmt'!G64</f>
        <v>640</v>
      </c>
      <c r="H64" s="85">
        <f>'CAC Inc Stmt'!H64+'AL Inc Stmt'!H64+'ESL Inc Stmt'!H64</f>
        <v>0</v>
      </c>
      <c r="I64" s="83">
        <f>'CAC Inc Stmt'!I64+'AL Inc Stmt'!I64+'ESL Inc Stmt'!I64</f>
        <v>598</v>
      </c>
      <c r="J64" s="83">
        <f>'CAC Inc Stmt'!J64+'AL Inc Stmt'!J64+'ESL Inc Stmt'!J64</f>
        <v>618</v>
      </c>
      <c r="K64" s="15">
        <f>'CAC Inc Stmt'!K64+'AL Inc Stmt'!K64+'ESL Inc Stmt'!K64</f>
        <v>744</v>
      </c>
      <c r="L64" s="167">
        <f>'CAC Inc Stmt'!L64+'AL Inc Stmt'!L64+'ESL Inc Stmt'!L64</f>
        <v>0</v>
      </c>
      <c r="M64" s="148">
        <f>'CAC Inc Stmt'!M64+'AL Inc Stmt'!M64+'ESL Inc Stmt'!M64</f>
        <v>598</v>
      </c>
      <c r="N64" s="148">
        <f>'CAC Inc Stmt'!N64+'AL Inc Stmt'!N64+'ESL Inc Stmt'!N64</f>
        <v>20</v>
      </c>
      <c r="O64" s="148">
        <f>'CAC Inc Stmt'!O64+'AL Inc Stmt'!O64+'ESL Inc Stmt'!O64</f>
        <v>126</v>
      </c>
      <c r="P64" s="150">
        <f>'CAC Inc Stmt'!P64+'AL Inc Stmt'!P64+'ESL Inc Stmt'!P64</f>
        <v>744</v>
      </c>
      <c r="Q64" s="151">
        <f>'CAC Inc Stmt'!Q64+'AL Inc Stmt'!Q64+'ESL Inc Stmt'!Q64</f>
        <v>600</v>
      </c>
      <c r="R64" s="152">
        <f t="shared" si="12"/>
        <v>144</v>
      </c>
      <c r="S64" s="173">
        <f t="shared" si="13"/>
        <v>1.24</v>
      </c>
      <c r="T64" s="154">
        <f t="shared" si="14"/>
        <v>104</v>
      </c>
      <c r="U64" s="170">
        <f t="shared" si="15"/>
        <v>1.1625000000000001</v>
      </c>
    </row>
    <row r="65" spans="1:21" outlineLevel="1" x14ac:dyDescent="0.2">
      <c r="B65" s="116" t="s">
        <v>91</v>
      </c>
      <c r="F65" s="156">
        <v>8232</v>
      </c>
      <c r="G65" s="166">
        <f>'CAC Inc Stmt'!G65+'AL Inc Stmt'!G65+'ESL Inc Stmt'!G65</f>
        <v>2453</v>
      </c>
      <c r="H65" s="85">
        <f>'CAC Inc Stmt'!H65+'AL Inc Stmt'!H65+'ESL Inc Stmt'!H65</f>
        <v>0</v>
      </c>
      <c r="I65" s="83">
        <f>'CAC Inc Stmt'!I65+'AL Inc Stmt'!I65+'ESL Inc Stmt'!I65</f>
        <v>0</v>
      </c>
      <c r="J65" s="83">
        <f>'CAC Inc Stmt'!J65+'AL Inc Stmt'!J65+'ESL Inc Stmt'!J65</f>
        <v>0</v>
      </c>
      <c r="K65" s="15">
        <f>'CAC Inc Stmt'!K65+'AL Inc Stmt'!K65+'ESL Inc Stmt'!K65</f>
        <v>0</v>
      </c>
      <c r="L65" s="167">
        <f>'CAC Inc Stmt'!L65+'AL Inc Stmt'!L65+'ESL Inc Stmt'!L65</f>
        <v>0</v>
      </c>
      <c r="M65" s="148">
        <f>'CAC Inc Stmt'!M65+'AL Inc Stmt'!M65+'ESL Inc Stmt'!M65</f>
        <v>0</v>
      </c>
      <c r="N65" s="148">
        <f>'CAC Inc Stmt'!N65+'AL Inc Stmt'!N65+'ESL Inc Stmt'!N65</f>
        <v>0</v>
      </c>
      <c r="O65" s="148">
        <f>'CAC Inc Stmt'!O65+'AL Inc Stmt'!O65+'ESL Inc Stmt'!O65</f>
        <v>0</v>
      </c>
      <c r="P65" s="150">
        <f>'CAC Inc Stmt'!P65+'AL Inc Stmt'!P65+'ESL Inc Stmt'!P65</f>
        <v>0</v>
      </c>
      <c r="Q65" s="151">
        <f>'CAC Inc Stmt'!Q65+'AL Inc Stmt'!Q65+'ESL Inc Stmt'!Q65</f>
        <v>2500</v>
      </c>
      <c r="R65" s="152">
        <f t="shared" si="12"/>
        <v>-2500</v>
      </c>
      <c r="S65" s="173">
        <f t="shared" si="13"/>
        <v>0</v>
      </c>
      <c r="T65" s="154">
        <f t="shared" si="14"/>
        <v>-2453</v>
      </c>
      <c r="U65" s="170">
        <f t="shared" si="15"/>
        <v>0</v>
      </c>
    </row>
    <row r="66" spans="1:21" outlineLevel="1" x14ac:dyDescent="0.2">
      <c r="B66" s="116" t="s">
        <v>94</v>
      </c>
      <c r="F66" s="156"/>
      <c r="G66" s="166">
        <f>'CAC Inc Stmt'!G66+'AL Inc Stmt'!G66+'ESL Inc Stmt'!G66</f>
        <v>937.5</v>
      </c>
      <c r="H66" s="85">
        <f>'CAC Inc Stmt'!H66+'AL Inc Stmt'!H66+'ESL Inc Stmt'!H66</f>
        <v>975</v>
      </c>
      <c r="I66" s="83">
        <f>'CAC Inc Stmt'!I66+'AL Inc Stmt'!I66+'ESL Inc Stmt'!I66</f>
        <v>975</v>
      </c>
      <c r="J66" s="83">
        <f>'CAC Inc Stmt'!J66+'AL Inc Stmt'!J66+'ESL Inc Stmt'!J66</f>
        <v>975</v>
      </c>
      <c r="K66" s="15">
        <f>'CAC Inc Stmt'!K66+'AL Inc Stmt'!K66+'ESL Inc Stmt'!K66</f>
        <v>1187</v>
      </c>
      <c r="L66" s="167">
        <f>'CAC Inc Stmt'!L66+'AL Inc Stmt'!L66+'ESL Inc Stmt'!L66</f>
        <v>975</v>
      </c>
      <c r="M66" s="148">
        <f>'CAC Inc Stmt'!M66+'AL Inc Stmt'!M66+'ESL Inc Stmt'!M66</f>
        <v>0</v>
      </c>
      <c r="N66" s="148">
        <f>'CAC Inc Stmt'!N66+'AL Inc Stmt'!N66+'ESL Inc Stmt'!N66</f>
        <v>0</v>
      </c>
      <c r="O66" s="148">
        <f>'CAC Inc Stmt'!O66+'AL Inc Stmt'!O66+'ESL Inc Stmt'!O66</f>
        <v>212</v>
      </c>
      <c r="P66" s="150">
        <f>'CAC Inc Stmt'!P66+'AL Inc Stmt'!P66+'ESL Inc Stmt'!P66</f>
        <v>1187</v>
      </c>
      <c r="Q66" s="151">
        <f>'CAC Inc Stmt'!Q66+'AL Inc Stmt'!Q66+'ESL Inc Stmt'!Q66</f>
        <v>2500</v>
      </c>
      <c r="R66" s="152">
        <f t="shared" si="12"/>
        <v>-1313</v>
      </c>
      <c r="S66" s="173">
        <f t="shared" si="13"/>
        <v>0.4748</v>
      </c>
      <c r="T66" s="154">
        <f t="shared" si="14"/>
        <v>249.5</v>
      </c>
      <c r="U66" s="170">
        <f t="shared" si="15"/>
        <v>1.2661333333333333</v>
      </c>
    </row>
    <row r="67" spans="1:21" outlineLevel="1" x14ac:dyDescent="0.2">
      <c r="B67" s="116" t="s">
        <v>101</v>
      </c>
      <c r="F67" s="156"/>
      <c r="G67" s="166">
        <f>'CAC Inc Stmt'!G67+'AL Inc Stmt'!G67+'ESL Inc Stmt'!G67</f>
        <v>110</v>
      </c>
      <c r="H67" s="85">
        <f>'CAC Inc Stmt'!H67+'AL Inc Stmt'!H67+'ESL Inc Stmt'!H67</f>
        <v>50</v>
      </c>
      <c r="I67" s="83">
        <f>'CAC Inc Stmt'!I67+'AL Inc Stmt'!I67+'ESL Inc Stmt'!I67</f>
        <v>50</v>
      </c>
      <c r="J67" s="83">
        <f>'CAC Inc Stmt'!J67+'AL Inc Stmt'!J67+'ESL Inc Stmt'!J67</f>
        <v>50</v>
      </c>
      <c r="K67" s="15">
        <f>'CAC Inc Stmt'!K67+'AL Inc Stmt'!K67+'ESL Inc Stmt'!K67</f>
        <v>50</v>
      </c>
      <c r="L67" s="167">
        <f>'CAC Inc Stmt'!L67+'AL Inc Stmt'!L67+'ESL Inc Stmt'!L67</f>
        <v>50</v>
      </c>
      <c r="M67" s="148">
        <f>'CAC Inc Stmt'!M67+'AL Inc Stmt'!M67+'ESL Inc Stmt'!M67</f>
        <v>0</v>
      </c>
      <c r="N67" s="148">
        <f>'CAC Inc Stmt'!N67+'AL Inc Stmt'!N67+'ESL Inc Stmt'!N67</f>
        <v>0</v>
      </c>
      <c r="O67" s="148">
        <f>'CAC Inc Stmt'!O67+'AL Inc Stmt'!O67+'ESL Inc Stmt'!O67</f>
        <v>0</v>
      </c>
      <c r="P67" s="150">
        <f>'CAC Inc Stmt'!P67+'AL Inc Stmt'!P67+'ESL Inc Stmt'!P67</f>
        <v>50</v>
      </c>
      <c r="Q67" s="151">
        <f>'CAC Inc Stmt'!Q67+'AL Inc Stmt'!Q67+'ESL Inc Stmt'!Q67</f>
        <v>50</v>
      </c>
      <c r="R67" s="152">
        <f t="shared" si="12"/>
        <v>0</v>
      </c>
      <c r="S67" s="173">
        <f t="shared" si="13"/>
        <v>1</v>
      </c>
      <c r="T67" s="154">
        <f t="shared" si="14"/>
        <v>-60</v>
      </c>
      <c r="U67" s="170">
        <f t="shared" si="15"/>
        <v>0.45454545454545453</v>
      </c>
    </row>
    <row r="68" spans="1:21" outlineLevel="1" x14ac:dyDescent="0.2">
      <c r="B68" s="116" t="s">
        <v>96</v>
      </c>
      <c r="E68" s="184"/>
      <c r="F68" s="156"/>
      <c r="G68" s="166">
        <f>'CAC Inc Stmt'!G68+'AL Inc Stmt'!G68+'ESL Inc Stmt'!G68</f>
        <v>1533.78</v>
      </c>
      <c r="H68" s="85">
        <f>'CAC Inc Stmt'!H68+'AL Inc Stmt'!H68+'ESL Inc Stmt'!H68</f>
        <v>269.55</v>
      </c>
      <c r="I68" s="85">
        <f>'CAC Inc Stmt'!I68+'AL Inc Stmt'!I68+'ESL Inc Stmt'!I68</f>
        <v>918</v>
      </c>
      <c r="J68" s="83">
        <f>'CAC Inc Stmt'!J68+'AL Inc Stmt'!J68+'ESL Inc Stmt'!J68</f>
        <v>1129</v>
      </c>
      <c r="K68" s="15">
        <f>'CAC Inc Stmt'!K68+'AL Inc Stmt'!K68+'ESL Inc Stmt'!K68</f>
        <v>1964.25</v>
      </c>
      <c r="L68" s="167">
        <f>'CAC Inc Stmt'!L68+'AL Inc Stmt'!L68+'ESL Inc Stmt'!L68</f>
        <v>269.55</v>
      </c>
      <c r="M68" s="148">
        <f>'CAC Inc Stmt'!M68+'AL Inc Stmt'!M68+'ESL Inc Stmt'!M68</f>
        <v>648.45000000000005</v>
      </c>
      <c r="N68" s="148">
        <f>'CAC Inc Stmt'!N68+'AL Inc Stmt'!N68+'ESL Inc Stmt'!N68</f>
        <v>211</v>
      </c>
      <c r="O68" s="148">
        <f>'CAC Inc Stmt'!O68+'AL Inc Stmt'!O68+'ESL Inc Stmt'!O68</f>
        <v>835.25</v>
      </c>
      <c r="P68" s="150">
        <f>'CAC Inc Stmt'!P68+'AL Inc Stmt'!P68+'ESL Inc Stmt'!P68</f>
        <v>1964.25</v>
      </c>
      <c r="Q68" s="151">
        <f>'CAC Inc Stmt'!Q68+'AL Inc Stmt'!Q68+'ESL Inc Stmt'!Q68</f>
        <v>1850</v>
      </c>
      <c r="R68" s="152">
        <f t="shared" si="12"/>
        <v>114.25</v>
      </c>
      <c r="S68" s="173">
        <f t="shared" si="13"/>
        <v>1.0617567567567567</v>
      </c>
      <c r="T68" s="154">
        <f t="shared" si="14"/>
        <v>430.47</v>
      </c>
      <c r="U68" s="170">
        <f t="shared" si="15"/>
        <v>1.2806595470015256</v>
      </c>
    </row>
    <row r="69" spans="1:21" outlineLevel="1" x14ac:dyDescent="0.2">
      <c r="B69" s="116" t="s">
        <v>97</v>
      </c>
      <c r="F69" s="156"/>
      <c r="G69" s="166">
        <f>'CAC Inc Stmt'!G69+'AL Inc Stmt'!G69+'ESL Inc Stmt'!G69</f>
        <v>5658.02</v>
      </c>
      <c r="H69" s="85">
        <f>'CAC Inc Stmt'!H69+'AL Inc Stmt'!H69+'ESL Inc Stmt'!H69</f>
        <v>1639.86</v>
      </c>
      <c r="I69" s="83">
        <f>'CAC Inc Stmt'!I69+'AL Inc Stmt'!I69+'ESL Inc Stmt'!I69</f>
        <v>2186.48</v>
      </c>
      <c r="J69" s="83">
        <f>'CAC Inc Stmt'!J69+'AL Inc Stmt'!J69+'ESL Inc Stmt'!J69</f>
        <v>3862.08</v>
      </c>
      <c r="K69" s="15">
        <f>'CAC Inc Stmt'!K69+'AL Inc Stmt'!K69+'ESL Inc Stmt'!K69</f>
        <v>5286.33</v>
      </c>
      <c r="L69" s="167">
        <f>'CAC Inc Stmt'!L69+'AL Inc Stmt'!L69+'ESL Inc Stmt'!L69</f>
        <v>1639.86</v>
      </c>
      <c r="M69" s="148">
        <f>'CAC Inc Stmt'!M69+'AL Inc Stmt'!M69+'ESL Inc Stmt'!M69</f>
        <v>546.62000000000012</v>
      </c>
      <c r="N69" s="148">
        <f>'CAC Inc Stmt'!N69+'AL Inc Stmt'!N69+'ESL Inc Stmt'!N69</f>
        <v>1675.6</v>
      </c>
      <c r="O69" s="148">
        <f>'CAC Inc Stmt'!O69+'AL Inc Stmt'!O69+'ESL Inc Stmt'!O69</f>
        <v>1424.25</v>
      </c>
      <c r="P69" s="150">
        <f>'CAC Inc Stmt'!P69+'AL Inc Stmt'!P69+'ESL Inc Stmt'!P69</f>
        <v>5286.33</v>
      </c>
      <c r="Q69" s="151">
        <f>'CAC Inc Stmt'!Q69+'AL Inc Stmt'!Q69+'ESL Inc Stmt'!Q69</f>
        <v>7000</v>
      </c>
      <c r="R69" s="152">
        <f t="shared" si="12"/>
        <v>-1713.67</v>
      </c>
      <c r="S69" s="173">
        <f t="shared" si="13"/>
        <v>0.75519000000000003</v>
      </c>
      <c r="T69" s="154">
        <f t="shared" si="14"/>
        <v>-371.69000000000051</v>
      </c>
      <c r="U69" s="170">
        <f t="shared" si="15"/>
        <v>0.93430740789180655</v>
      </c>
    </row>
    <row r="70" spans="1:21" outlineLevel="1" x14ac:dyDescent="0.2">
      <c r="B70" s="116" t="s">
        <v>98</v>
      </c>
      <c r="F70" s="156"/>
      <c r="G70" s="166">
        <f>'CAC Inc Stmt'!G70+'AL Inc Stmt'!G70+'ESL Inc Stmt'!G70</f>
        <v>3688.89</v>
      </c>
      <c r="H70" s="85">
        <f>'CAC Inc Stmt'!H70+'AL Inc Stmt'!H70+'ESL Inc Stmt'!H70</f>
        <v>1392.04</v>
      </c>
      <c r="I70" s="83">
        <f>'CAC Inc Stmt'!I70+'AL Inc Stmt'!I70+'ESL Inc Stmt'!I70</f>
        <v>2057.15</v>
      </c>
      <c r="J70" s="83">
        <f>'CAC Inc Stmt'!J70+'AL Inc Stmt'!J70+'ESL Inc Stmt'!J70</f>
        <v>3103.44</v>
      </c>
      <c r="K70" s="15">
        <f>'CAC Inc Stmt'!K70+'AL Inc Stmt'!K70+'ESL Inc Stmt'!K70</f>
        <v>3755.59</v>
      </c>
      <c r="L70" s="167">
        <f>'CAC Inc Stmt'!L70+'AL Inc Stmt'!L70+'ESL Inc Stmt'!L70</f>
        <v>1392.04</v>
      </c>
      <c r="M70" s="148">
        <f>'CAC Inc Stmt'!M70+'AL Inc Stmt'!M70+'ESL Inc Stmt'!M70</f>
        <v>665.11000000000013</v>
      </c>
      <c r="N70" s="148">
        <f>'CAC Inc Stmt'!N70+'AL Inc Stmt'!N70+'ESL Inc Stmt'!N70</f>
        <v>1046.29</v>
      </c>
      <c r="O70" s="148">
        <f>'CAC Inc Stmt'!O70+'AL Inc Stmt'!O70+'ESL Inc Stmt'!O70</f>
        <v>652.15000000000009</v>
      </c>
      <c r="P70" s="150">
        <f>'CAC Inc Stmt'!P70+'AL Inc Stmt'!P70+'ESL Inc Stmt'!P70</f>
        <v>3755.59</v>
      </c>
      <c r="Q70" s="151">
        <f>'CAC Inc Stmt'!Q70+'AL Inc Stmt'!Q70+'ESL Inc Stmt'!Q70</f>
        <v>4000</v>
      </c>
      <c r="R70" s="152">
        <f t="shared" si="12"/>
        <v>-244.40999999999985</v>
      </c>
      <c r="S70" s="173">
        <f t="shared" si="13"/>
        <v>0.93889750000000005</v>
      </c>
      <c r="T70" s="154">
        <f t="shared" si="14"/>
        <v>66.700000000000273</v>
      </c>
      <c r="U70" s="170">
        <f t="shared" si="15"/>
        <v>1.0180813198550243</v>
      </c>
    </row>
    <row r="71" spans="1:21" outlineLevel="1" x14ac:dyDescent="0.2">
      <c r="B71" s="116" t="s">
        <v>414</v>
      </c>
      <c r="F71" s="156"/>
      <c r="G71" s="166">
        <f>'CAC Inc Stmt'!G71+'AL Inc Stmt'!G71+'ESL Inc Stmt'!G71</f>
        <v>0</v>
      </c>
      <c r="H71" s="85">
        <f>'CAC Inc Stmt'!H71+'AL Inc Stmt'!H71+'ESL Inc Stmt'!H71</f>
        <v>0</v>
      </c>
      <c r="I71" s="83">
        <f>'CAC Inc Stmt'!I71+'AL Inc Stmt'!I71+'ESL Inc Stmt'!I71</f>
        <v>0</v>
      </c>
      <c r="J71" s="83">
        <f>'CAC Inc Stmt'!J71+'AL Inc Stmt'!J71+'ESL Inc Stmt'!J71</f>
        <v>0</v>
      </c>
      <c r="K71" s="15">
        <f>'CAC Inc Stmt'!K71+'AL Inc Stmt'!K71+'ESL Inc Stmt'!K71</f>
        <v>0</v>
      </c>
      <c r="L71" s="167">
        <f>'CAC Inc Stmt'!L71+'AL Inc Stmt'!L71+'ESL Inc Stmt'!L71</f>
        <v>0</v>
      </c>
      <c r="M71" s="148">
        <f>'CAC Inc Stmt'!M71+'AL Inc Stmt'!M71+'ESL Inc Stmt'!M71</f>
        <v>0</v>
      </c>
      <c r="N71" s="148">
        <f>'CAC Inc Stmt'!N71+'AL Inc Stmt'!N71+'ESL Inc Stmt'!N71</f>
        <v>0</v>
      </c>
      <c r="O71" s="148">
        <f>'CAC Inc Stmt'!O71+'AL Inc Stmt'!O71+'ESL Inc Stmt'!O71</f>
        <v>0</v>
      </c>
      <c r="P71" s="150">
        <f>'CAC Inc Stmt'!P71+'AL Inc Stmt'!P71+'ESL Inc Stmt'!P71</f>
        <v>0</v>
      </c>
      <c r="Q71" s="151">
        <f>'CAC Inc Stmt'!Q71+'AL Inc Stmt'!Q71+'ESL Inc Stmt'!Q71</f>
        <v>0</v>
      </c>
      <c r="R71" s="152">
        <f>P71-Q71</f>
        <v>0</v>
      </c>
      <c r="S71" s="173" t="str">
        <f t="shared" si="13"/>
        <v/>
      </c>
      <c r="T71" s="154">
        <f>P71-G71</f>
        <v>0</v>
      </c>
      <c r="U71" s="170" t="str">
        <f t="shared" si="15"/>
        <v/>
      </c>
    </row>
    <row r="72" spans="1:21" outlineLevel="1" x14ac:dyDescent="0.2">
      <c r="B72" s="116" t="s">
        <v>93</v>
      </c>
      <c r="F72" s="156" t="s">
        <v>208</v>
      </c>
      <c r="G72" s="166">
        <f>'CAC Inc Stmt'!G72+'AL Inc Stmt'!G72+'ESL Inc Stmt'!G72</f>
        <v>1377</v>
      </c>
      <c r="H72" s="87">
        <f>'CAC Inc Stmt'!H72+'AL Inc Stmt'!H72+'ESL Inc Stmt'!H72</f>
        <v>137</v>
      </c>
      <c r="I72" s="83">
        <f>'CAC Inc Stmt'!I72+'AL Inc Stmt'!I72+'ESL Inc Stmt'!I72</f>
        <v>137</v>
      </c>
      <c r="J72" s="83">
        <f>'CAC Inc Stmt'!J72+'AL Inc Stmt'!J72+'ESL Inc Stmt'!J72</f>
        <v>137</v>
      </c>
      <c r="K72" s="16">
        <f>'CAC Inc Stmt'!K72+'AL Inc Stmt'!K72+'ESL Inc Stmt'!K72</f>
        <v>295</v>
      </c>
      <c r="L72" s="167">
        <f>'CAC Inc Stmt'!L72+'AL Inc Stmt'!L72+'ESL Inc Stmt'!L72</f>
        <v>137</v>
      </c>
      <c r="M72" s="148">
        <f>'CAC Inc Stmt'!M72+'AL Inc Stmt'!M72+'ESL Inc Stmt'!M72</f>
        <v>0</v>
      </c>
      <c r="N72" s="148">
        <f>'CAC Inc Stmt'!N72+'AL Inc Stmt'!N72+'ESL Inc Stmt'!N72</f>
        <v>0</v>
      </c>
      <c r="O72" s="148">
        <f>'CAC Inc Stmt'!O72+'AL Inc Stmt'!O72+'ESL Inc Stmt'!O72</f>
        <v>158</v>
      </c>
      <c r="P72" s="150">
        <f>'CAC Inc Stmt'!P72+'AL Inc Stmt'!P72+'ESL Inc Stmt'!P72</f>
        <v>295</v>
      </c>
      <c r="Q72" s="151">
        <f>'CAC Inc Stmt'!Q72+'AL Inc Stmt'!Q72+'ESL Inc Stmt'!Q72</f>
        <v>1450</v>
      </c>
      <c r="R72" s="152">
        <f t="shared" si="12"/>
        <v>-1155</v>
      </c>
      <c r="S72" s="173">
        <f t="shared" si="13"/>
        <v>0.20344827586206896</v>
      </c>
      <c r="T72" s="154">
        <f t="shared" si="14"/>
        <v>-1082</v>
      </c>
      <c r="U72" s="170">
        <f t="shared" si="15"/>
        <v>0.21423384168482207</v>
      </c>
    </row>
    <row r="73" spans="1:21" outlineLevel="1" x14ac:dyDescent="0.2">
      <c r="F73" s="156"/>
      <c r="G73" s="166">
        <f>'CAC Inc Stmt'!G73+'AL Inc Stmt'!G73+'ESL Inc Stmt'!G73</f>
        <v>0</v>
      </c>
      <c r="H73" s="85">
        <f>'CAC Inc Stmt'!H73+'AL Inc Stmt'!H73+'ESL Inc Stmt'!H73</f>
        <v>1500</v>
      </c>
      <c r="I73" s="83">
        <f>'CAC Inc Stmt'!I73+'AL Inc Stmt'!I73+'ESL Inc Stmt'!I73</f>
        <v>1500</v>
      </c>
      <c r="J73" s="83">
        <f>'CAC Inc Stmt'!J73+'AL Inc Stmt'!J73+'ESL Inc Stmt'!J73</f>
        <v>1500</v>
      </c>
      <c r="K73" s="15">
        <f>'CAC Inc Stmt'!K73+'AL Inc Stmt'!K73+'ESL Inc Stmt'!K73</f>
        <v>1500</v>
      </c>
      <c r="L73" s="167">
        <f>'CAC Inc Stmt'!L73+'AL Inc Stmt'!L73+'ESL Inc Stmt'!L73</f>
        <v>1500</v>
      </c>
      <c r="M73" s="148">
        <f>'CAC Inc Stmt'!M73+'AL Inc Stmt'!M73+'ESL Inc Stmt'!M73</f>
        <v>0</v>
      </c>
      <c r="N73" s="148">
        <f>'CAC Inc Stmt'!N73+'AL Inc Stmt'!N73+'ESL Inc Stmt'!N73</f>
        <v>0</v>
      </c>
      <c r="O73" s="148">
        <f>'CAC Inc Stmt'!O73+'AL Inc Stmt'!O73+'ESL Inc Stmt'!O73</f>
        <v>0</v>
      </c>
      <c r="P73" s="150">
        <f>'CAC Inc Stmt'!P73+'AL Inc Stmt'!P73+'ESL Inc Stmt'!P73</f>
        <v>1500</v>
      </c>
      <c r="Q73" s="151">
        <f>'CAC Inc Stmt'!Q73+'AL Inc Stmt'!Q73+'ESL Inc Stmt'!Q73</f>
        <v>0</v>
      </c>
      <c r="R73" s="152">
        <f t="shared" si="12"/>
        <v>1500</v>
      </c>
      <c r="S73" s="173" t="str">
        <f t="shared" si="13"/>
        <v/>
      </c>
      <c r="T73" s="154">
        <f t="shared" si="14"/>
        <v>1500</v>
      </c>
      <c r="U73" s="170" t="str">
        <f t="shared" si="15"/>
        <v/>
      </c>
    </row>
    <row r="74" spans="1:21" outlineLevel="1" x14ac:dyDescent="0.2">
      <c r="F74" s="156"/>
      <c r="G74" s="166">
        <f>'CAC Inc Stmt'!G74+'AL Inc Stmt'!G74+'ESL Inc Stmt'!G74</f>
        <v>0</v>
      </c>
      <c r="H74" s="85">
        <f>'CAC Inc Stmt'!H74+'AL Inc Stmt'!H74+'ESL Inc Stmt'!H74</f>
        <v>0</v>
      </c>
      <c r="I74" s="83">
        <f>'CAC Inc Stmt'!I74+'AL Inc Stmt'!I74+'ESL Inc Stmt'!I74</f>
        <v>0</v>
      </c>
      <c r="J74" s="83">
        <f>'CAC Inc Stmt'!J74+'AL Inc Stmt'!J74+'ESL Inc Stmt'!J74</f>
        <v>0</v>
      </c>
      <c r="K74" s="15">
        <f>'CAC Inc Stmt'!K74+'AL Inc Stmt'!K74+'ESL Inc Stmt'!K74</f>
        <v>0</v>
      </c>
      <c r="L74" s="167">
        <f>'CAC Inc Stmt'!L74+'AL Inc Stmt'!L74+'ESL Inc Stmt'!L74</f>
        <v>0</v>
      </c>
      <c r="M74" s="148">
        <f>'CAC Inc Stmt'!M74+'AL Inc Stmt'!M74+'ESL Inc Stmt'!M74</f>
        <v>0</v>
      </c>
      <c r="N74" s="148">
        <f>'CAC Inc Stmt'!N74+'AL Inc Stmt'!N74+'ESL Inc Stmt'!N74</f>
        <v>0</v>
      </c>
      <c r="O74" s="148">
        <f>'CAC Inc Stmt'!O74+'AL Inc Stmt'!O74+'ESL Inc Stmt'!O74</f>
        <v>0</v>
      </c>
      <c r="P74" s="150">
        <f>'CAC Inc Stmt'!P74+'AL Inc Stmt'!P74+'ESL Inc Stmt'!P74</f>
        <v>0</v>
      </c>
      <c r="Q74" s="151">
        <f>'CAC Inc Stmt'!Q74+'AL Inc Stmt'!Q74+'ESL Inc Stmt'!Q74</f>
        <v>0</v>
      </c>
      <c r="R74" s="152">
        <f t="shared" si="12"/>
        <v>0</v>
      </c>
      <c r="S74" s="173" t="str">
        <f t="shared" si="13"/>
        <v/>
      </c>
      <c r="T74" s="154">
        <f t="shared" si="14"/>
        <v>0</v>
      </c>
      <c r="U74" s="170" t="str">
        <f t="shared" si="15"/>
        <v/>
      </c>
    </row>
    <row r="75" spans="1:21" outlineLevel="1" x14ac:dyDescent="0.2">
      <c r="F75" s="156"/>
      <c r="G75" s="166"/>
      <c r="H75" s="85"/>
      <c r="I75" s="83"/>
      <c r="J75" s="83"/>
      <c r="K75" s="15"/>
      <c r="L75" s="167"/>
      <c r="M75" s="148"/>
      <c r="N75" s="148"/>
      <c r="O75" s="148"/>
      <c r="P75" s="150"/>
      <c r="Q75" s="151"/>
      <c r="R75" s="152"/>
      <c r="S75" s="173" t="str">
        <f t="shared" si="13"/>
        <v/>
      </c>
      <c r="T75" s="154"/>
      <c r="U75" s="170" t="str">
        <f t="shared" si="15"/>
        <v/>
      </c>
    </row>
    <row r="76" spans="1:21" x14ac:dyDescent="0.2">
      <c r="A76" s="118" t="s">
        <v>103</v>
      </c>
      <c r="F76" s="156"/>
      <c r="G76" s="175">
        <f>'CAC Inc Stmt'!G76+'AL Inc Stmt'!G76+'ESL Inc Stmt'!G76</f>
        <v>118684.64</v>
      </c>
      <c r="H76" s="86">
        <f>'CAC Inc Stmt'!H76+'AL Inc Stmt'!H76+'ESL Inc Stmt'!H76</f>
        <v>37334.75</v>
      </c>
      <c r="I76" s="86">
        <f>'CAC Inc Stmt'!I76+'AL Inc Stmt'!I76+'ESL Inc Stmt'!I76</f>
        <v>59127.38</v>
      </c>
      <c r="J76" s="86">
        <f>'CAC Inc Stmt'!J76+'AL Inc Stmt'!J76+'ESL Inc Stmt'!J76</f>
        <v>85821.09</v>
      </c>
      <c r="K76" s="243">
        <f>'CAC Inc Stmt'!K76+'AL Inc Stmt'!K76+'ESL Inc Stmt'!K76</f>
        <v>110846.88</v>
      </c>
      <c r="L76" s="177">
        <f>'CAC Inc Stmt'!L76+'AL Inc Stmt'!L76+'ESL Inc Stmt'!L76</f>
        <v>37334.75</v>
      </c>
      <c r="M76" s="176">
        <f>'CAC Inc Stmt'!M76+'AL Inc Stmt'!M76+'ESL Inc Stmt'!M76</f>
        <v>21792.63</v>
      </c>
      <c r="N76" s="176">
        <f>'CAC Inc Stmt'!N76+'AL Inc Stmt'!N76+'ESL Inc Stmt'!N76</f>
        <v>26693.71</v>
      </c>
      <c r="O76" s="176">
        <f>'CAC Inc Stmt'!O76+'AL Inc Stmt'!O76+'ESL Inc Stmt'!O76</f>
        <v>25025.79</v>
      </c>
      <c r="P76" s="178">
        <f>'CAC Inc Stmt'!P76+'AL Inc Stmt'!P76+'ESL Inc Stmt'!P76</f>
        <v>110846.88</v>
      </c>
      <c r="Q76" s="179">
        <f>'CAC Inc Stmt'!Q76+'AL Inc Stmt'!Q76+'ESL Inc Stmt'!Q76</f>
        <v>119935</v>
      </c>
      <c r="R76" s="180">
        <f>SUM(R48:R75)</f>
        <v>-9088.119999999999</v>
      </c>
      <c r="S76" s="181">
        <f t="shared" si="13"/>
        <v>0.92422462167007136</v>
      </c>
      <c r="T76" s="182">
        <f>SUM(T48:T75)</f>
        <v>-7837.7599999999984</v>
      </c>
      <c r="U76" s="185">
        <f t="shared" si="15"/>
        <v>0.93396146291550453</v>
      </c>
    </row>
    <row r="77" spans="1:21" x14ac:dyDescent="0.2">
      <c r="F77" s="156"/>
      <c r="G77" s="166"/>
      <c r="H77" s="83"/>
      <c r="I77" s="83"/>
      <c r="J77" s="83"/>
      <c r="K77" s="15"/>
      <c r="L77" s="167"/>
      <c r="M77" s="148"/>
      <c r="N77" s="148"/>
      <c r="O77" s="148"/>
      <c r="P77" s="150"/>
      <c r="Q77" s="151"/>
      <c r="R77" s="152"/>
      <c r="S77" s="173"/>
      <c r="T77" s="154"/>
      <c r="U77" s="170"/>
    </row>
    <row r="78" spans="1:21" ht="13.2" thickBot="1" x14ac:dyDescent="0.25">
      <c r="A78" s="118" t="s">
        <v>104</v>
      </c>
      <c r="F78" s="156"/>
      <c r="G78" s="186">
        <f>'CAC Inc Stmt'!G78+'AL Inc Stmt'!G78+'ESL Inc Stmt'!G78</f>
        <v>45066.14</v>
      </c>
      <c r="H78" s="88">
        <f>'CAC Inc Stmt'!H78+'AL Inc Stmt'!H78+'ESL Inc Stmt'!H78</f>
        <v>13077.329999999998</v>
      </c>
      <c r="I78" s="88">
        <f>'CAC Inc Stmt'!I78+'AL Inc Stmt'!I78+'ESL Inc Stmt'!I78</f>
        <v>40155.17</v>
      </c>
      <c r="J78" s="88">
        <f>'CAC Inc Stmt'!J78+'AL Inc Stmt'!J78+'ESL Inc Stmt'!J78</f>
        <v>72844.48000000001</v>
      </c>
      <c r="K78" s="244">
        <f>'CAC Inc Stmt'!K78+'AL Inc Stmt'!K78+'ESL Inc Stmt'!K78</f>
        <v>99832.939999999988</v>
      </c>
      <c r="L78" s="188">
        <f>'CAC Inc Stmt'!L78+'AL Inc Stmt'!L78+'ESL Inc Stmt'!L78</f>
        <v>13077.329999999998</v>
      </c>
      <c r="M78" s="187">
        <f>'CAC Inc Stmt'!M78+'AL Inc Stmt'!M78+'ESL Inc Stmt'!M78</f>
        <v>27077.839999999997</v>
      </c>
      <c r="N78" s="187">
        <f>'CAC Inc Stmt'!N78+'AL Inc Stmt'!N78+'ESL Inc Stmt'!N78</f>
        <v>32689.310000000005</v>
      </c>
      <c r="O78" s="187">
        <f>'CAC Inc Stmt'!O78+'AL Inc Stmt'!O78+'ESL Inc Stmt'!O78</f>
        <v>26988.459999999995</v>
      </c>
      <c r="P78" s="189">
        <f>'CAC Inc Stmt'!P78+'AL Inc Stmt'!P78+'ESL Inc Stmt'!P78</f>
        <v>99832.939999999988</v>
      </c>
      <c r="Q78" s="190">
        <f>'CAC Inc Stmt'!Q78+'AL Inc Stmt'!Q78+'ESL Inc Stmt'!Q78</f>
        <v>42332</v>
      </c>
      <c r="R78" s="191">
        <f>R45-R76</f>
        <v>57500.94</v>
      </c>
      <c r="S78" s="192">
        <f>IF(Q78=0,"",P78/Q78)</f>
        <v>2.3583327033922323</v>
      </c>
      <c r="T78" s="193">
        <f>T45-T76</f>
        <v>54766.799999999988</v>
      </c>
      <c r="U78" s="194">
        <f>IF(G78=0,"",P78/G78)</f>
        <v>2.2152538469014651</v>
      </c>
    </row>
    <row r="79" spans="1:21" x14ac:dyDescent="0.2">
      <c r="F79" s="195"/>
      <c r="G79" s="166"/>
      <c r="H79" s="83"/>
      <c r="I79" s="83"/>
      <c r="J79" s="83"/>
      <c r="K79" s="15"/>
      <c r="L79" s="167"/>
      <c r="M79" s="148"/>
      <c r="N79" s="148"/>
      <c r="O79" s="148"/>
      <c r="P79" s="150"/>
      <c r="Q79" s="151"/>
      <c r="R79" s="152"/>
      <c r="S79" s="153"/>
      <c r="T79" s="154"/>
      <c r="U79" s="155"/>
    </row>
    <row r="80" spans="1:21" x14ac:dyDescent="0.2">
      <c r="A80" s="118" t="s">
        <v>354</v>
      </c>
      <c r="F80" s="195"/>
      <c r="G80" s="157">
        <f>'CAC Inc Stmt'!G80+'AL Inc Stmt'!G80+'ESL Inc Stmt'!G80</f>
        <v>1680.51</v>
      </c>
      <c r="H80" s="84">
        <f>'CAC Inc Stmt'!H80+'AL Inc Stmt'!H80+'ESL Inc Stmt'!H80</f>
        <v>417.91</v>
      </c>
      <c r="I80" s="84">
        <f>'CAC Inc Stmt'!I80+'AL Inc Stmt'!I80+'ESL Inc Stmt'!I80</f>
        <v>859.88</v>
      </c>
      <c r="J80" s="84">
        <f>'CAC Inc Stmt'!J80+'AL Inc Stmt'!J80+'ESL Inc Stmt'!J80</f>
        <v>1275.0600000000002</v>
      </c>
      <c r="K80" s="241">
        <f>'CAC Inc Stmt'!K80+'AL Inc Stmt'!K80+'ESL Inc Stmt'!K80</f>
        <v>1699.3400000000001</v>
      </c>
      <c r="L80" s="159">
        <f>'CAC Inc Stmt'!L80+'AL Inc Stmt'!L80+'ESL Inc Stmt'!L80</f>
        <v>417.91</v>
      </c>
      <c r="M80" s="158">
        <f>'CAC Inc Stmt'!M80+'AL Inc Stmt'!M80+'ESL Inc Stmt'!M80</f>
        <v>441.97</v>
      </c>
      <c r="N80" s="158">
        <f>'CAC Inc Stmt'!N80+'AL Inc Stmt'!N80+'ESL Inc Stmt'!N80</f>
        <v>415.18000000000006</v>
      </c>
      <c r="O80" s="158">
        <f>'CAC Inc Stmt'!O80+'AL Inc Stmt'!O80+'ESL Inc Stmt'!O80</f>
        <v>424.27999999999992</v>
      </c>
      <c r="P80" s="160">
        <f>'CAC Inc Stmt'!P80+'AL Inc Stmt'!P80+'ESL Inc Stmt'!P80</f>
        <v>1699.3400000000001</v>
      </c>
      <c r="Q80" s="161">
        <f>'CAC Inc Stmt'!Q80+'AL Inc Stmt'!Q80+'ESL Inc Stmt'!Q80</f>
        <v>1786</v>
      </c>
      <c r="R80" s="162">
        <f>SUM(R82:R85)</f>
        <v>-86.659999999999968</v>
      </c>
      <c r="S80" s="171">
        <f t="shared" ref="S80:S86" si="16">IF(Q80=0,"",P80/Q80)</f>
        <v>0.95147816349384107</v>
      </c>
      <c r="T80" s="164">
        <f>SUM(T82:T85)</f>
        <v>18.830000000000098</v>
      </c>
      <c r="U80" s="227">
        <f t="shared" ref="U80:U86" si="17">IF(G80=0,"",P80/G80)</f>
        <v>1.0112049318361689</v>
      </c>
    </row>
    <row r="81" spans="1:21" outlineLevel="1" x14ac:dyDescent="0.2">
      <c r="B81" s="116" t="s">
        <v>105</v>
      </c>
      <c r="F81" s="195"/>
      <c r="G81" s="166">
        <f>'CAC Inc Stmt'!G81+'AL Inc Stmt'!G81+'ESL Inc Stmt'!G81</f>
        <v>0</v>
      </c>
      <c r="H81" s="83">
        <f>'CAC Inc Stmt'!H81+'AL Inc Stmt'!H81+'ESL Inc Stmt'!H81</f>
        <v>0</v>
      </c>
      <c r="I81" s="83">
        <f>'CAC Inc Stmt'!I81+'AL Inc Stmt'!I81+'ESL Inc Stmt'!I81</f>
        <v>0</v>
      </c>
      <c r="J81" s="83">
        <f>'CAC Inc Stmt'!J81+'AL Inc Stmt'!J81+'ESL Inc Stmt'!J81</f>
        <v>0</v>
      </c>
      <c r="K81" s="15">
        <f>'CAC Inc Stmt'!K81+'AL Inc Stmt'!K81+'ESL Inc Stmt'!K81</f>
        <v>0</v>
      </c>
      <c r="L81" s="167">
        <f>'CAC Inc Stmt'!L81+'AL Inc Stmt'!L81+'ESL Inc Stmt'!L81</f>
        <v>0</v>
      </c>
      <c r="M81" s="148">
        <f>'CAC Inc Stmt'!M81+'AL Inc Stmt'!M81+'ESL Inc Stmt'!M81</f>
        <v>0</v>
      </c>
      <c r="N81" s="148">
        <f>'CAC Inc Stmt'!N81+'AL Inc Stmt'!N81+'ESL Inc Stmt'!N81</f>
        <v>0</v>
      </c>
      <c r="O81" s="148">
        <f>'CAC Inc Stmt'!O81+'AL Inc Stmt'!O81+'ESL Inc Stmt'!O81</f>
        <v>0</v>
      </c>
      <c r="P81" s="150">
        <f>'CAC Inc Stmt'!P81+'AL Inc Stmt'!P81+'ESL Inc Stmt'!P81</f>
        <v>0</v>
      </c>
      <c r="Q81" s="151">
        <f>'CAC Inc Stmt'!Q81+'AL Inc Stmt'!Q81+'ESL Inc Stmt'!Q81</f>
        <v>0</v>
      </c>
      <c r="R81" s="152"/>
      <c r="S81" s="173" t="str">
        <f t="shared" si="16"/>
        <v/>
      </c>
      <c r="T81" s="154"/>
      <c r="U81" s="170" t="str">
        <f t="shared" si="17"/>
        <v/>
      </c>
    </row>
    <row r="82" spans="1:21" outlineLevel="1" x14ac:dyDescent="0.2">
      <c r="C82" s="116" t="s">
        <v>352</v>
      </c>
      <c r="F82" s="195"/>
      <c r="G82" s="166">
        <f>'CAC Inc Stmt'!G82+'AL Inc Stmt'!G82+'ESL Inc Stmt'!G82</f>
        <v>1617.07</v>
      </c>
      <c r="H82" s="83">
        <f>'CAC Inc Stmt'!H82+'AL Inc Stmt'!H82+'ESL Inc Stmt'!H82</f>
        <v>402.42</v>
      </c>
      <c r="I82" s="83">
        <f>'CAC Inc Stmt'!I82+'AL Inc Stmt'!I82+'ESL Inc Stmt'!I82</f>
        <v>816.85</v>
      </c>
      <c r="J82" s="83">
        <f>'CAC Inc Stmt'!J82+'AL Inc Stmt'!J82+'ESL Inc Stmt'!J82</f>
        <v>1226.3900000000001</v>
      </c>
      <c r="K82" s="15">
        <f>'CAC Inc Stmt'!K82+'AL Inc Stmt'!K82+'ESL Inc Stmt'!K82</f>
        <v>1632.71</v>
      </c>
      <c r="L82" s="167">
        <f>'CAC Inc Stmt'!L82+'AL Inc Stmt'!L82+'ESL Inc Stmt'!L82</f>
        <v>402.42</v>
      </c>
      <c r="M82" s="148">
        <f>'CAC Inc Stmt'!M82+'AL Inc Stmt'!M82+'ESL Inc Stmt'!M82</f>
        <v>414.43</v>
      </c>
      <c r="N82" s="148">
        <f>'CAC Inc Stmt'!N82+'AL Inc Stmt'!N82+'ESL Inc Stmt'!N82</f>
        <v>409.54000000000008</v>
      </c>
      <c r="O82" s="148">
        <f>'CAC Inc Stmt'!O82+'AL Inc Stmt'!O82+'ESL Inc Stmt'!O82</f>
        <v>406.31999999999994</v>
      </c>
      <c r="P82" s="150">
        <f>'CAC Inc Stmt'!P82+'AL Inc Stmt'!P82+'ESL Inc Stmt'!P82</f>
        <v>1632.71</v>
      </c>
      <c r="Q82" s="151">
        <f>'CAC Inc Stmt'!Q82+'AL Inc Stmt'!Q82+'ESL Inc Stmt'!Q82</f>
        <v>1700</v>
      </c>
      <c r="R82" s="152">
        <f>P82-Q82</f>
        <v>-67.289999999999964</v>
      </c>
      <c r="S82" s="173">
        <f t="shared" si="16"/>
        <v>0.9604176470588236</v>
      </c>
      <c r="T82" s="154">
        <f>P82-G82</f>
        <v>15.6400000000001</v>
      </c>
      <c r="U82" s="170">
        <f t="shared" si="17"/>
        <v>1.0096718138361358</v>
      </c>
    </row>
    <row r="83" spans="1:21" outlineLevel="1" x14ac:dyDescent="0.2">
      <c r="B83" s="116" t="s">
        <v>353</v>
      </c>
      <c r="F83" s="195">
        <v>5310</v>
      </c>
      <c r="G83" s="166">
        <f>'CAC Inc Stmt'!G83+'AL Inc Stmt'!G83+'ESL Inc Stmt'!G83</f>
        <v>63.44</v>
      </c>
      <c r="H83" s="83">
        <f>'CAC Inc Stmt'!H83+'AL Inc Stmt'!H83+'ESL Inc Stmt'!H83</f>
        <v>15.49</v>
      </c>
      <c r="I83" s="83">
        <f>'CAC Inc Stmt'!I83+'AL Inc Stmt'!I83+'ESL Inc Stmt'!I83</f>
        <v>43.03</v>
      </c>
      <c r="J83" s="83">
        <f>'CAC Inc Stmt'!J83+'AL Inc Stmt'!J83+'ESL Inc Stmt'!J83</f>
        <v>48.67</v>
      </c>
      <c r="K83" s="15">
        <f>'CAC Inc Stmt'!K83+'AL Inc Stmt'!K83+'ESL Inc Stmt'!K83</f>
        <v>66.63</v>
      </c>
      <c r="L83" s="167">
        <f>'CAC Inc Stmt'!L83+'AL Inc Stmt'!L83+'ESL Inc Stmt'!L83</f>
        <v>15.49</v>
      </c>
      <c r="M83" s="148">
        <f>'CAC Inc Stmt'!M83+'AL Inc Stmt'!M83+'ESL Inc Stmt'!M83</f>
        <v>27.54</v>
      </c>
      <c r="N83" s="148">
        <f>'CAC Inc Stmt'!N83+'AL Inc Stmt'!N83+'ESL Inc Stmt'!N83</f>
        <v>5.6400000000000006</v>
      </c>
      <c r="O83" s="148">
        <f>'CAC Inc Stmt'!O83+'AL Inc Stmt'!O83+'ESL Inc Stmt'!O83</f>
        <v>17.96</v>
      </c>
      <c r="P83" s="150">
        <f>'CAC Inc Stmt'!P83+'AL Inc Stmt'!P83+'ESL Inc Stmt'!P83</f>
        <v>66.63</v>
      </c>
      <c r="Q83" s="151">
        <f>'CAC Inc Stmt'!Q83+'AL Inc Stmt'!Q83+'ESL Inc Stmt'!Q83</f>
        <v>86</v>
      </c>
      <c r="R83" s="152">
        <f>P83-Q83</f>
        <v>-19.370000000000005</v>
      </c>
      <c r="S83" s="173">
        <f t="shared" si="16"/>
        <v>0.77476744186046509</v>
      </c>
      <c r="T83" s="154">
        <f>P83-G83</f>
        <v>3.1899999999999977</v>
      </c>
      <c r="U83" s="170">
        <f t="shared" si="17"/>
        <v>1.0502837326607819</v>
      </c>
    </row>
    <row r="84" spans="1:21" outlineLevel="1" x14ac:dyDescent="0.2">
      <c r="F84" s="195"/>
      <c r="G84" s="166">
        <f>'CAC Inc Stmt'!G84+'AL Inc Stmt'!G84+'ESL Inc Stmt'!G84</f>
        <v>0</v>
      </c>
      <c r="H84" s="83">
        <f>'CAC Inc Stmt'!H84+'AL Inc Stmt'!H84+'ESL Inc Stmt'!H84</f>
        <v>0</v>
      </c>
      <c r="I84" s="83">
        <f>'CAC Inc Stmt'!I84+'AL Inc Stmt'!I84+'ESL Inc Stmt'!I84</f>
        <v>0</v>
      </c>
      <c r="J84" s="83">
        <f>'CAC Inc Stmt'!J84+'AL Inc Stmt'!J84+'ESL Inc Stmt'!J84</f>
        <v>0</v>
      </c>
      <c r="K84" s="15">
        <f>'CAC Inc Stmt'!K84+'AL Inc Stmt'!K84+'ESL Inc Stmt'!K84</f>
        <v>0</v>
      </c>
      <c r="L84" s="167">
        <f>'CAC Inc Stmt'!L84+'AL Inc Stmt'!L84+'ESL Inc Stmt'!L84</f>
        <v>0</v>
      </c>
      <c r="M84" s="148">
        <f>'CAC Inc Stmt'!M84+'AL Inc Stmt'!M84+'ESL Inc Stmt'!M84</f>
        <v>0</v>
      </c>
      <c r="N84" s="148">
        <f>'CAC Inc Stmt'!N84+'AL Inc Stmt'!N84+'ESL Inc Stmt'!N84</f>
        <v>0</v>
      </c>
      <c r="O84" s="148">
        <f>'CAC Inc Stmt'!O84+'AL Inc Stmt'!O84+'ESL Inc Stmt'!O84</f>
        <v>0</v>
      </c>
      <c r="P84" s="150">
        <f>'CAC Inc Stmt'!P84+'AL Inc Stmt'!P84+'ESL Inc Stmt'!P84</f>
        <v>0</v>
      </c>
      <c r="Q84" s="151">
        <f>'CAC Inc Stmt'!Q84+'AL Inc Stmt'!Q84+'ESL Inc Stmt'!Q84</f>
        <v>0</v>
      </c>
      <c r="R84" s="152">
        <f>P84-Q84</f>
        <v>0</v>
      </c>
      <c r="S84" s="173" t="str">
        <f t="shared" si="16"/>
        <v/>
      </c>
      <c r="T84" s="154">
        <f>P84-G84</f>
        <v>0</v>
      </c>
      <c r="U84" s="170" t="str">
        <f t="shared" si="17"/>
        <v/>
      </c>
    </row>
    <row r="85" spans="1:21" x14ac:dyDescent="0.2">
      <c r="F85" s="195"/>
      <c r="G85" s="166"/>
      <c r="H85" s="83"/>
      <c r="I85" s="83"/>
      <c r="J85" s="83"/>
      <c r="K85" s="15"/>
      <c r="L85" s="167"/>
      <c r="M85" s="148"/>
      <c r="N85" s="148"/>
      <c r="O85" s="148"/>
      <c r="P85" s="150"/>
      <c r="Q85" s="151"/>
      <c r="R85" s="152"/>
      <c r="S85" s="173" t="str">
        <f t="shared" si="16"/>
        <v/>
      </c>
      <c r="T85" s="154"/>
      <c r="U85" s="170" t="str">
        <f t="shared" si="17"/>
        <v/>
      </c>
    </row>
    <row r="86" spans="1:21" x14ac:dyDescent="0.2">
      <c r="A86" s="118" t="s">
        <v>355</v>
      </c>
      <c r="F86" s="195"/>
      <c r="G86" s="157">
        <f>'CAC Inc Stmt'!G86+'AL Inc Stmt'!G86+'ESL Inc Stmt'!G86</f>
        <v>0</v>
      </c>
      <c r="H86" s="84">
        <f>'CAC Inc Stmt'!H86+'AL Inc Stmt'!H86+'ESL Inc Stmt'!H86</f>
        <v>0</v>
      </c>
      <c r="I86" s="84">
        <f>'CAC Inc Stmt'!I86+'AL Inc Stmt'!I86+'ESL Inc Stmt'!I86</f>
        <v>0</v>
      </c>
      <c r="J86" s="84">
        <f>'CAC Inc Stmt'!J86+'AL Inc Stmt'!J86+'ESL Inc Stmt'!J86</f>
        <v>0</v>
      </c>
      <c r="K86" s="241">
        <f>'CAC Inc Stmt'!K86+'AL Inc Stmt'!K86+'ESL Inc Stmt'!K86</f>
        <v>0</v>
      </c>
      <c r="L86" s="159">
        <f>'CAC Inc Stmt'!L86+'AL Inc Stmt'!L86+'ESL Inc Stmt'!L86</f>
        <v>0</v>
      </c>
      <c r="M86" s="158">
        <f>'CAC Inc Stmt'!M86+'AL Inc Stmt'!M86+'ESL Inc Stmt'!M86</f>
        <v>0</v>
      </c>
      <c r="N86" s="158">
        <f>'CAC Inc Stmt'!N86+'AL Inc Stmt'!N86+'ESL Inc Stmt'!N86</f>
        <v>0</v>
      </c>
      <c r="O86" s="158">
        <f>'CAC Inc Stmt'!O86+'AL Inc Stmt'!O86+'ESL Inc Stmt'!O86</f>
        <v>0</v>
      </c>
      <c r="P86" s="160">
        <f>'CAC Inc Stmt'!P86+'AL Inc Stmt'!P86+'ESL Inc Stmt'!P86</f>
        <v>0</v>
      </c>
      <c r="Q86" s="161">
        <f>'CAC Inc Stmt'!Q86+'AL Inc Stmt'!Q86+'ESL Inc Stmt'!Q86</f>
        <v>0</v>
      </c>
      <c r="R86" s="162">
        <f>P86-Q86</f>
        <v>0</v>
      </c>
      <c r="S86" s="171" t="str">
        <f t="shared" si="16"/>
        <v/>
      </c>
      <c r="T86" s="164">
        <f>P86-G86</f>
        <v>0</v>
      </c>
      <c r="U86" s="227" t="str">
        <f t="shared" si="17"/>
        <v/>
      </c>
    </row>
    <row r="87" spans="1:21" x14ac:dyDescent="0.2">
      <c r="F87" s="195"/>
      <c r="G87" s="166"/>
      <c r="H87" s="83"/>
      <c r="I87" s="83"/>
      <c r="J87" s="83"/>
      <c r="K87" s="15"/>
      <c r="L87" s="167"/>
      <c r="M87" s="148"/>
      <c r="N87" s="148"/>
      <c r="O87" s="148"/>
      <c r="P87" s="150"/>
      <c r="Q87" s="151"/>
      <c r="R87" s="152"/>
      <c r="S87" s="173"/>
      <c r="T87" s="154"/>
      <c r="U87" s="170"/>
    </row>
    <row r="88" spans="1:21" ht="13.2" outlineLevel="1" thickBot="1" x14ac:dyDescent="0.25">
      <c r="A88" s="118" t="s">
        <v>195</v>
      </c>
      <c r="F88" s="195"/>
      <c r="G88" s="196">
        <f>'CAC Inc Stmt'!G88+'AL Inc Stmt'!G88+'ESL Inc Stmt'!G88</f>
        <v>46746.649999999994</v>
      </c>
      <c r="H88" s="89">
        <f>'CAC Inc Stmt'!H88+'AL Inc Stmt'!H88+'ESL Inc Stmt'!H88</f>
        <v>13495.239999999998</v>
      </c>
      <c r="I88" s="89">
        <f>'CAC Inc Stmt'!I88+'AL Inc Stmt'!I88+'ESL Inc Stmt'!I88</f>
        <v>41015.050000000003</v>
      </c>
      <c r="J88" s="89">
        <f>'CAC Inc Stmt'!J88+'AL Inc Stmt'!J88+'ESL Inc Stmt'!J88</f>
        <v>74119.540000000008</v>
      </c>
      <c r="K88" s="245">
        <f>'CAC Inc Stmt'!K88+'AL Inc Stmt'!K88+'ESL Inc Stmt'!K88</f>
        <v>101532.27999999998</v>
      </c>
      <c r="L88" s="196">
        <f>'CAC Inc Stmt'!L88+'AL Inc Stmt'!L88+'ESL Inc Stmt'!L88</f>
        <v>13495.239999999998</v>
      </c>
      <c r="M88" s="197">
        <f>'CAC Inc Stmt'!M88+'AL Inc Stmt'!M88+'ESL Inc Stmt'!M88</f>
        <v>27519.809999999994</v>
      </c>
      <c r="N88" s="197">
        <f>'CAC Inc Stmt'!N88+'AL Inc Stmt'!N88+'ESL Inc Stmt'!N88</f>
        <v>33104.490000000005</v>
      </c>
      <c r="O88" s="197">
        <f>'CAC Inc Stmt'!O88+'AL Inc Stmt'!O88+'ESL Inc Stmt'!O88</f>
        <v>27412.739999999994</v>
      </c>
      <c r="P88" s="189">
        <f>'CAC Inc Stmt'!P88+'AL Inc Stmt'!P88+'ESL Inc Stmt'!P88</f>
        <v>101532.27999999998</v>
      </c>
      <c r="Q88" s="198">
        <f>'CAC Inc Stmt'!Q88+'AL Inc Stmt'!Q88+'ESL Inc Stmt'!Q88</f>
        <v>44118</v>
      </c>
      <c r="R88" s="198">
        <f>R78+R80-R86</f>
        <v>57414.28</v>
      </c>
      <c r="S88" s="199">
        <f>IF(Q88=0,"",P88/Q88)</f>
        <v>2.3013799356271814</v>
      </c>
      <c r="T88" s="198">
        <f>T78+T80-T86</f>
        <v>54785.62999999999</v>
      </c>
      <c r="U88" s="200">
        <f>IF(G88=0,"",P88/G88)</f>
        <v>2.1719691143643449</v>
      </c>
    </row>
    <row r="89" spans="1:21" outlineLevel="1" x14ac:dyDescent="0.2">
      <c r="A89" s="118"/>
      <c r="F89" s="195"/>
      <c r="G89" s="201"/>
      <c r="H89" s="83"/>
      <c r="I89" s="83"/>
      <c r="J89" s="83"/>
      <c r="K89" s="15"/>
      <c r="L89" s="202"/>
      <c r="M89" s="203"/>
      <c r="N89" s="203"/>
      <c r="O89" s="148"/>
      <c r="P89" s="204"/>
      <c r="Q89" s="151"/>
      <c r="R89" s="152"/>
      <c r="S89" s="153"/>
      <c r="T89" s="154"/>
      <c r="U89" s="170"/>
    </row>
    <row r="90" spans="1:21" outlineLevel="1" x14ac:dyDescent="0.2">
      <c r="A90" s="118" t="s">
        <v>269</v>
      </c>
      <c r="F90" s="195"/>
      <c r="G90" s="201"/>
      <c r="H90" s="83"/>
      <c r="I90" s="83"/>
      <c r="J90" s="83"/>
      <c r="K90" s="15"/>
      <c r="L90" s="202"/>
      <c r="M90" s="203"/>
      <c r="N90" s="203"/>
      <c r="O90" s="148"/>
      <c r="P90" s="204"/>
      <c r="Q90" s="151"/>
      <c r="R90" s="152"/>
      <c r="S90" s="153"/>
      <c r="T90" s="154"/>
      <c r="U90" s="170"/>
    </row>
    <row r="91" spans="1:21" outlineLevel="1" x14ac:dyDescent="0.2">
      <c r="A91" s="118"/>
      <c r="B91" s="116" t="s">
        <v>270</v>
      </c>
      <c r="F91" s="195"/>
      <c r="G91" s="201">
        <f>'CAC Inc Stmt'!G91+'AL Inc Stmt'!G91+'ESL Inc Stmt'!G91</f>
        <v>8676</v>
      </c>
      <c r="H91" s="83">
        <f>'CAC Inc Stmt'!H91+'AL Inc Stmt'!H91+'ESL Inc Stmt'!H91</f>
        <v>0</v>
      </c>
      <c r="I91" s="83">
        <f>'CAC Inc Stmt'!I91+'AL Inc Stmt'!I91+'ESL Inc Stmt'!I91</f>
        <v>27851</v>
      </c>
      <c r="J91" s="83">
        <f>'CAC Inc Stmt'!J91+'AL Inc Stmt'!J91+'ESL Inc Stmt'!J91</f>
        <v>38119</v>
      </c>
      <c r="K91" s="15">
        <f>'CAC Inc Stmt'!K91+'AL Inc Stmt'!K91+'ESL Inc Stmt'!K91</f>
        <v>38119</v>
      </c>
      <c r="L91" s="202">
        <f>'CAC Inc Stmt'!L91+'AL Inc Stmt'!L91+'ESL Inc Stmt'!L91</f>
        <v>0</v>
      </c>
      <c r="M91" s="203">
        <f>'CAC Inc Stmt'!M91+'AL Inc Stmt'!M91+'ESL Inc Stmt'!M91</f>
        <v>27851</v>
      </c>
      <c r="N91" s="203">
        <f>'CAC Inc Stmt'!N91+'AL Inc Stmt'!N91+'ESL Inc Stmt'!N91</f>
        <v>10268</v>
      </c>
      <c r="O91" s="148">
        <f>'CAC Inc Stmt'!O91+'AL Inc Stmt'!O91+'ESL Inc Stmt'!O91</f>
        <v>0</v>
      </c>
      <c r="P91" s="150">
        <f>'CAC Inc Stmt'!P91+'AL Inc Stmt'!P91+'ESL Inc Stmt'!P91</f>
        <v>38119</v>
      </c>
      <c r="Q91" s="151">
        <f>'CAC Inc Stmt'!Q91+'AL Inc Stmt'!Q91+'ESL Inc Stmt'!Q91</f>
        <v>40500</v>
      </c>
      <c r="R91" s="152">
        <f>P91-Q91</f>
        <v>-2381</v>
      </c>
      <c r="S91" s="173">
        <f>IF(Q91=0,"",P91/Q91)</f>
        <v>0.94120987654320987</v>
      </c>
      <c r="T91" s="154">
        <f>P91-G91</f>
        <v>29443</v>
      </c>
      <c r="U91" s="170">
        <f>IF(G91=0,"",P91/G91)</f>
        <v>4.3936145689257726</v>
      </c>
    </row>
    <row r="92" spans="1:21" outlineLevel="1" x14ac:dyDescent="0.2">
      <c r="A92" s="118"/>
      <c r="B92" s="116" t="s">
        <v>255</v>
      </c>
      <c r="F92" s="195"/>
      <c r="G92" s="201">
        <f>'CAC Inc Stmt'!G92+'AL Inc Stmt'!G92+'ESL Inc Stmt'!G92</f>
        <v>4799</v>
      </c>
      <c r="H92" s="83">
        <f>'CAC Inc Stmt'!H92+'AL Inc Stmt'!H92+'ESL Inc Stmt'!H92</f>
        <v>0</v>
      </c>
      <c r="I92" s="83">
        <f>'CAC Inc Stmt'!I92+'AL Inc Stmt'!I92+'ESL Inc Stmt'!I92</f>
        <v>0</v>
      </c>
      <c r="J92" s="83">
        <f>'CAC Inc Stmt'!J92+'AL Inc Stmt'!J92+'ESL Inc Stmt'!J92</f>
        <v>0</v>
      </c>
      <c r="K92" s="15">
        <f>'CAC Inc Stmt'!K92+'AL Inc Stmt'!K92+'ESL Inc Stmt'!K92</f>
        <v>0</v>
      </c>
      <c r="L92" s="202">
        <f>'CAC Inc Stmt'!L92+'AL Inc Stmt'!L92+'ESL Inc Stmt'!L92</f>
        <v>0</v>
      </c>
      <c r="M92" s="203">
        <f>'CAC Inc Stmt'!M92+'AL Inc Stmt'!M92+'ESL Inc Stmt'!M92</f>
        <v>0</v>
      </c>
      <c r="N92" s="203">
        <f>'CAC Inc Stmt'!N92+'AL Inc Stmt'!N92+'ESL Inc Stmt'!N92</f>
        <v>0</v>
      </c>
      <c r="O92" s="148">
        <f>'CAC Inc Stmt'!O92+'AL Inc Stmt'!O92+'ESL Inc Stmt'!O92</f>
        <v>0</v>
      </c>
      <c r="P92" s="150">
        <f>'CAC Inc Stmt'!P92+'AL Inc Stmt'!P92+'ESL Inc Stmt'!P92</f>
        <v>0</v>
      </c>
      <c r="Q92" s="151">
        <f>'CAC Inc Stmt'!Q92+'AL Inc Stmt'!Q92+'ESL Inc Stmt'!Q92</f>
        <v>19800</v>
      </c>
      <c r="R92" s="152">
        <f>P92-Q92</f>
        <v>-19800</v>
      </c>
      <c r="S92" s="173">
        <f>IF(Q92=0,"",P92/Q92)</f>
        <v>0</v>
      </c>
      <c r="T92" s="154">
        <f>P92-G92</f>
        <v>-4799</v>
      </c>
      <c r="U92" s="170">
        <f>IF(G92=0,"",P92/G92)</f>
        <v>0</v>
      </c>
    </row>
    <row r="93" spans="1:21" outlineLevel="1" x14ac:dyDescent="0.2">
      <c r="A93" s="118"/>
      <c r="F93" s="195"/>
      <c r="G93" s="201"/>
      <c r="H93" s="83"/>
      <c r="I93" s="83"/>
      <c r="J93" s="83"/>
      <c r="K93" s="15"/>
      <c r="L93" s="202"/>
      <c r="M93" s="203"/>
      <c r="N93" s="203"/>
      <c r="O93" s="148"/>
      <c r="P93" s="204"/>
      <c r="Q93" s="151"/>
      <c r="R93" s="152"/>
      <c r="S93" s="173"/>
      <c r="T93" s="154"/>
      <c r="U93" s="170"/>
    </row>
    <row r="94" spans="1:21" outlineLevel="1" x14ac:dyDescent="0.2">
      <c r="A94" s="118"/>
      <c r="B94" s="118" t="s">
        <v>271</v>
      </c>
      <c r="F94" s="195"/>
      <c r="G94" s="157">
        <f>'CAC Inc Stmt'!G94+'AL Inc Stmt'!G94+'ESL Inc Stmt'!G94</f>
        <v>13475</v>
      </c>
      <c r="H94" s="84">
        <f>'CAC Inc Stmt'!H94+'AL Inc Stmt'!H94+'ESL Inc Stmt'!H94</f>
        <v>0</v>
      </c>
      <c r="I94" s="84">
        <f>'CAC Inc Stmt'!I94+'AL Inc Stmt'!I94+'ESL Inc Stmt'!I94</f>
        <v>27851</v>
      </c>
      <c r="J94" s="84">
        <f>'CAC Inc Stmt'!J94+'AL Inc Stmt'!J94+'ESL Inc Stmt'!J94</f>
        <v>38119</v>
      </c>
      <c r="K94" s="241">
        <f>'CAC Inc Stmt'!K94+'AL Inc Stmt'!K94+'ESL Inc Stmt'!K94</f>
        <v>38119</v>
      </c>
      <c r="L94" s="159">
        <f>'CAC Inc Stmt'!L94+'AL Inc Stmt'!L94+'ESL Inc Stmt'!L94</f>
        <v>0</v>
      </c>
      <c r="M94" s="158">
        <f>'CAC Inc Stmt'!M94+'AL Inc Stmt'!M94+'ESL Inc Stmt'!M94</f>
        <v>27851</v>
      </c>
      <c r="N94" s="158">
        <f>'CAC Inc Stmt'!N94+'AL Inc Stmt'!N94+'ESL Inc Stmt'!N94</f>
        <v>10268</v>
      </c>
      <c r="O94" s="158">
        <f>'CAC Inc Stmt'!O94+'AL Inc Stmt'!O94+'ESL Inc Stmt'!O94</f>
        <v>0</v>
      </c>
      <c r="P94" s="160">
        <f>'CAC Inc Stmt'!P94+'AL Inc Stmt'!P94+'ESL Inc Stmt'!P94</f>
        <v>38119</v>
      </c>
      <c r="Q94" s="161">
        <f>'CAC Inc Stmt'!Q94+'AL Inc Stmt'!Q94+'ESL Inc Stmt'!Q94</f>
        <v>60300</v>
      </c>
      <c r="R94" s="162">
        <f>R91+R92</f>
        <v>-22181</v>
      </c>
      <c r="S94" s="171">
        <f>IF(Q94=0,"",P94/Q94)</f>
        <v>0.63215588723051408</v>
      </c>
      <c r="T94" s="164">
        <f>T91+T92</f>
        <v>24644</v>
      </c>
      <c r="U94" s="205">
        <f>IF(G94=0,"",P94/G94)</f>
        <v>2.8288682745825602</v>
      </c>
    </row>
    <row r="95" spans="1:21" outlineLevel="1" x14ac:dyDescent="0.2">
      <c r="A95" s="118"/>
      <c r="F95" s="195"/>
      <c r="G95" s="201"/>
      <c r="H95" s="83"/>
      <c r="I95" s="83"/>
      <c r="J95" s="83"/>
      <c r="K95" s="15"/>
      <c r="L95" s="202"/>
      <c r="M95" s="203"/>
      <c r="N95" s="203"/>
      <c r="O95" s="148"/>
      <c r="P95" s="204"/>
      <c r="Q95" s="151"/>
      <c r="R95" s="152"/>
      <c r="S95" s="173"/>
      <c r="T95" s="154"/>
      <c r="U95" s="206"/>
    </row>
    <row r="96" spans="1:21" ht="13.2" thickBot="1" x14ac:dyDescent="0.25">
      <c r="A96" s="118" t="s">
        <v>356</v>
      </c>
      <c r="F96" s="195"/>
      <c r="G96" s="207">
        <f>'CAC Inc Stmt'!G96+'AL Inc Stmt'!G96+'ESL Inc Stmt'!G96</f>
        <v>33271.649999999994</v>
      </c>
      <c r="H96" s="90">
        <f>'CAC Inc Stmt'!H96+'AL Inc Stmt'!H96+'ESL Inc Stmt'!H96</f>
        <v>13495.239999999998</v>
      </c>
      <c r="I96" s="90">
        <f>'CAC Inc Stmt'!I96+'AL Inc Stmt'!I96+'ESL Inc Stmt'!I96</f>
        <v>13164.05</v>
      </c>
      <c r="J96" s="90">
        <f>'CAC Inc Stmt'!J96+'AL Inc Stmt'!J96+'ESL Inc Stmt'!J96</f>
        <v>36000.540000000008</v>
      </c>
      <c r="K96" s="246">
        <f>'CAC Inc Stmt'!K96+'AL Inc Stmt'!K96+'ESL Inc Stmt'!K96</f>
        <v>63413.279999999984</v>
      </c>
      <c r="L96" s="207">
        <f>'CAC Inc Stmt'!L96+'AL Inc Stmt'!L96+'ESL Inc Stmt'!L96</f>
        <v>13495.239999999998</v>
      </c>
      <c r="M96" s="208">
        <f>'CAC Inc Stmt'!M96+'AL Inc Stmt'!M96+'ESL Inc Stmt'!M96</f>
        <v>-331.19000000000597</v>
      </c>
      <c r="N96" s="208">
        <f>'CAC Inc Stmt'!N96+'AL Inc Stmt'!N96+'ESL Inc Stmt'!N96</f>
        <v>22836.490000000005</v>
      </c>
      <c r="O96" s="208">
        <f>'CAC Inc Stmt'!O96+'AL Inc Stmt'!O96+'ESL Inc Stmt'!O96</f>
        <v>27412.739999999994</v>
      </c>
      <c r="P96" s="209">
        <f>'CAC Inc Stmt'!P96+'AL Inc Stmt'!P96+'ESL Inc Stmt'!P96</f>
        <v>63413.279999999984</v>
      </c>
      <c r="Q96" s="210">
        <f>'CAC Inc Stmt'!Q96+'AL Inc Stmt'!Q96+'ESL Inc Stmt'!Q96</f>
        <v>-16182</v>
      </c>
      <c r="R96" s="211">
        <f>R88-R94</f>
        <v>79595.28</v>
      </c>
      <c r="S96" s="212">
        <f>IF(Q96=0,"",P96/Q96)</f>
        <v>-3.9187541713014449</v>
      </c>
      <c r="T96" s="213">
        <f>T88-T94</f>
        <v>30141.62999999999</v>
      </c>
      <c r="U96" s="214">
        <f>IF(G96=0,"",P96/G96)</f>
        <v>1.9059253147950281</v>
      </c>
    </row>
    <row r="97" spans="1:21" ht="13.2" thickTop="1" x14ac:dyDescent="0.2">
      <c r="F97" s="195"/>
      <c r="G97" s="166"/>
      <c r="H97" s="83"/>
      <c r="I97" s="83"/>
      <c r="J97" s="83"/>
      <c r="K97" s="15"/>
      <c r="L97" s="167"/>
      <c r="M97" s="148"/>
      <c r="N97" s="148"/>
      <c r="O97" s="148"/>
      <c r="P97" s="150"/>
      <c r="Q97" s="151"/>
      <c r="R97" s="152"/>
      <c r="S97" s="153"/>
      <c r="T97" s="154"/>
      <c r="U97" s="170"/>
    </row>
    <row r="98" spans="1:21" x14ac:dyDescent="0.2">
      <c r="A98" s="118" t="s">
        <v>13</v>
      </c>
      <c r="F98" s="195"/>
      <c r="G98" s="166"/>
      <c r="H98" s="83"/>
      <c r="I98" s="83"/>
      <c r="J98" s="83"/>
      <c r="K98" s="15"/>
      <c r="L98" s="167"/>
      <c r="M98" s="148"/>
      <c r="N98" s="148"/>
      <c r="O98" s="148"/>
      <c r="P98" s="150"/>
      <c r="Q98" s="151"/>
      <c r="R98" s="152"/>
      <c r="S98" s="153"/>
      <c r="T98" s="154"/>
      <c r="U98" s="170"/>
    </row>
    <row r="99" spans="1:21" x14ac:dyDescent="0.2">
      <c r="B99" s="116" t="s">
        <v>358</v>
      </c>
      <c r="F99" s="195"/>
      <c r="G99" s="166">
        <f>'CAC Inc Stmt'!G99+'AL Inc Stmt'!G99+'ESL Inc Stmt'!G99</f>
        <v>0</v>
      </c>
      <c r="H99" s="83">
        <f>'CAC Inc Stmt'!H99+'AL Inc Stmt'!H99+'ESL Inc Stmt'!H99</f>
        <v>0</v>
      </c>
      <c r="I99" s="83">
        <f>'CAC Inc Stmt'!I99+'AL Inc Stmt'!I99+'ESL Inc Stmt'!I99</f>
        <v>0</v>
      </c>
      <c r="J99" s="83">
        <f>'CAC Inc Stmt'!J99+'AL Inc Stmt'!J99+'ESL Inc Stmt'!J99</f>
        <v>0</v>
      </c>
      <c r="K99" s="15">
        <f>'CAC Inc Stmt'!K99+'AL Inc Stmt'!K99+'ESL Inc Stmt'!K99</f>
        <v>0</v>
      </c>
      <c r="L99" s="167">
        <f>'CAC Inc Stmt'!L99+'AL Inc Stmt'!L99+'ESL Inc Stmt'!L99</f>
        <v>0</v>
      </c>
      <c r="M99" s="148">
        <f>'CAC Inc Stmt'!M99+'AL Inc Stmt'!M99+'ESL Inc Stmt'!M99</f>
        <v>0</v>
      </c>
      <c r="N99" s="148">
        <f>'CAC Inc Stmt'!N99+'AL Inc Stmt'!N99+'ESL Inc Stmt'!N99</f>
        <v>0</v>
      </c>
      <c r="O99" s="148">
        <f>'CAC Inc Stmt'!O99+'AL Inc Stmt'!O99+'ESL Inc Stmt'!O99</f>
        <v>0</v>
      </c>
      <c r="P99" s="150">
        <f>'CAC Inc Stmt'!P99+'AL Inc Stmt'!P99+'ESL Inc Stmt'!P99</f>
        <v>0</v>
      </c>
      <c r="Q99" s="151">
        <f>'CAC Inc Stmt'!Q99+'AL Inc Stmt'!Q99+'ESL Inc Stmt'!Q99</f>
        <v>0</v>
      </c>
      <c r="R99" s="152">
        <f t="shared" ref="R99:R107" si="18">P99-Q99</f>
        <v>0</v>
      </c>
      <c r="S99" s="173" t="str">
        <f t="shared" ref="S99:S107" si="19">IF(Q99=0,"",P99/Q99)</f>
        <v/>
      </c>
      <c r="T99" s="154">
        <f t="shared" ref="T99:T107" si="20">P99-G99</f>
        <v>0</v>
      </c>
      <c r="U99" s="170" t="str">
        <f t="shared" ref="U99:U107" si="21">IF(G99=0,"",P99/G99)</f>
        <v/>
      </c>
    </row>
    <row r="100" spans="1:21" x14ac:dyDescent="0.2">
      <c r="B100" s="116" t="s">
        <v>357</v>
      </c>
      <c r="F100" s="195">
        <v>5491</v>
      </c>
      <c r="G100" s="166">
        <f>'CAC Inc Stmt'!G100+'AL Inc Stmt'!G100+'ESL Inc Stmt'!G100</f>
        <v>0</v>
      </c>
      <c r="H100" s="83">
        <f>'CAC Inc Stmt'!H100+'AL Inc Stmt'!H100+'ESL Inc Stmt'!H100</f>
        <v>0</v>
      </c>
      <c r="I100" s="83">
        <f>'CAC Inc Stmt'!I100+'AL Inc Stmt'!I100+'ESL Inc Stmt'!I100</f>
        <v>0</v>
      </c>
      <c r="J100" s="83">
        <f>'CAC Inc Stmt'!J100+'AL Inc Stmt'!J100+'ESL Inc Stmt'!J100</f>
        <v>0</v>
      </c>
      <c r="K100" s="15">
        <f>'CAC Inc Stmt'!K100+'AL Inc Stmt'!K100+'ESL Inc Stmt'!K100</f>
        <v>0</v>
      </c>
      <c r="L100" s="167">
        <f>'CAC Inc Stmt'!L100+'AL Inc Stmt'!L100+'ESL Inc Stmt'!L100</f>
        <v>0</v>
      </c>
      <c r="M100" s="148">
        <f>'CAC Inc Stmt'!M100+'AL Inc Stmt'!M100+'ESL Inc Stmt'!M100</f>
        <v>0</v>
      </c>
      <c r="N100" s="148">
        <f>'CAC Inc Stmt'!N100+'AL Inc Stmt'!N100+'ESL Inc Stmt'!N100</f>
        <v>0</v>
      </c>
      <c r="O100" s="148">
        <f>'CAC Inc Stmt'!O100+'AL Inc Stmt'!O100+'ESL Inc Stmt'!O100</f>
        <v>0</v>
      </c>
      <c r="P100" s="150">
        <f>'CAC Inc Stmt'!P100+'AL Inc Stmt'!P100+'ESL Inc Stmt'!P100</f>
        <v>0</v>
      </c>
      <c r="Q100" s="151">
        <f>'CAC Inc Stmt'!Q100+'AL Inc Stmt'!Q100+'ESL Inc Stmt'!Q100</f>
        <v>0</v>
      </c>
      <c r="R100" s="152">
        <f t="shared" si="18"/>
        <v>0</v>
      </c>
      <c r="S100" s="173" t="str">
        <f t="shared" si="19"/>
        <v/>
      </c>
      <c r="T100" s="154">
        <f t="shared" si="20"/>
        <v>0</v>
      </c>
      <c r="U100" s="170" t="str">
        <f t="shared" si="21"/>
        <v/>
      </c>
    </row>
    <row r="101" spans="1:21" x14ac:dyDescent="0.2">
      <c r="B101" s="116" t="s">
        <v>359</v>
      </c>
      <c r="F101" s="195"/>
      <c r="G101" s="166">
        <f>'CAC Inc Stmt'!G101+'AL Inc Stmt'!G101+'ESL Inc Stmt'!G101</f>
        <v>0</v>
      </c>
      <c r="H101" s="83">
        <f>'CAC Inc Stmt'!H101+'AL Inc Stmt'!H101+'ESL Inc Stmt'!H101</f>
        <v>0</v>
      </c>
      <c r="I101" s="83">
        <f>'CAC Inc Stmt'!I101+'AL Inc Stmt'!I101+'ESL Inc Stmt'!I101</f>
        <v>0</v>
      </c>
      <c r="J101" s="83">
        <f>'CAC Inc Stmt'!J101+'AL Inc Stmt'!J101+'ESL Inc Stmt'!J101</f>
        <v>0</v>
      </c>
      <c r="K101" s="15">
        <f>'CAC Inc Stmt'!K101+'AL Inc Stmt'!K101+'ESL Inc Stmt'!K101</f>
        <v>0</v>
      </c>
      <c r="L101" s="167">
        <f>'CAC Inc Stmt'!L101+'AL Inc Stmt'!L101+'ESL Inc Stmt'!L101</f>
        <v>0</v>
      </c>
      <c r="M101" s="148">
        <f>'CAC Inc Stmt'!M101+'AL Inc Stmt'!M101+'ESL Inc Stmt'!M101</f>
        <v>0</v>
      </c>
      <c r="N101" s="148">
        <f>'CAC Inc Stmt'!N101+'AL Inc Stmt'!N101+'ESL Inc Stmt'!N101</f>
        <v>0</v>
      </c>
      <c r="O101" s="148">
        <f>'CAC Inc Stmt'!O101+'AL Inc Stmt'!O101+'ESL Inc Stmt'!O101</f>
        <v>0</v>
      </c>
      <c r="P101" s="150">
        <f>'CAC Inc Stmt'!P101+'AL Inc Stmt'!P101+'ESL Inc Stmt'!P101</f>
        <v>0</v>
      </c>
      <c r="Q101" s="151">
        <f>'CAC Inc Stmt'!Q101+'AL Inc Stmt'!Q101+'ESL Inc Stmt'!Q101</f>
        <v>0</v>
      </c>
      <c r="R101" s="152">
        <f t="shared" si="18"/>
        <v>0</v>
      </c>
      <c r="S101" s="173" t="str">
        <f t="shared" si="19"/>
        <v/>
      </c>
      <c r="T101" s="154">
        <f t="shared" si="20"/>
        <v>0</v>
      </c>
      <c r="U101" s="170" t="str">
        <f t="shared" si="21"/>
        <v/>
      </c>
    </row>
    <row r="102" spans="1:21" x14ac:dyDescent="0.2">
      <c r="B102" s="116" t="s">
        <v>267</v>
      </c>
      <c r="F102" s="195"/>
      <c r="G102" s="166">
        <f>'CAC Inc Stmt'!G102+'AL Inc Stmt'!G102+'ESL Inc Stmt'!G102</f>
        <v>0</v>
      </c>
      <c r="H102" s="83">
        <f>'CAC Inc Stmt'!H102+'AL Inc Stmt'!H102+'ESL Inc Stmt'!H102</f>
        <v>0</v>
      </c>
      <c r="I102" s="83">
        <f>'CAC Inc Stmt'!I102+'AL Inc Stmt'!I102+'ESL Inc Stmt'!I102</f>
        <v>0</v>
      </c>
      <c r="J102" s="83">
        <f>'CAC Inc Stmt'!J102+'AL Inc Stmt'!J102+'ESL Inc Stmt'!J102</f>
        <v>0</v>
      </c>
      <c r="K102" s="15">
        <f>'CAC Inc Stmt'!K102+'AL Inc Stmt'!K102+'ESL Inc Stmt'!K102</f>
        <v>0</v>
      </c>
      <c r="L102" s="167">
        <f>'CAC Inc Stmt'!L102+'AL Inc Stmt'!L102+'ESL Inc Stmt'!L102</f>
        <v>0</v>
      </c>
      <c r="M102" s="148">
        <f>'CAC Inc Stmt'!M102+'AL Inc Stmt'!M102+'ESL Inc Stmt'!M102</f>
        <v>0</v>
      </c>
      <c r="N102" s="148">
        <f>'CAC Inc Stmt'!N102+'AL Inc Stmt'!N102+'ESL Inc Stmt'!N102</f>
        <v>0</v>
      </c>
      <c r="O102" s="148">
        <f>'CAC Inc Stmt'!O102+'AL Inc Stmt'!O102+'ESL Inc Stmt'!O102</f>
        <v>0</v>
      </c>
      <c r="P102" s="150">
        <f>'CAC Inc Stmt'!P102+'AL Inc Stmt'!P102+'ESL Inc Stmt'!P102</f>
        <v>0</v>
      </c>
      <c r="Q102" s="151">
        <f>'CAC Inc Stmt'!Q102+'AL Inc Stmt'!Q102+'ESL Inc Stmt'!Q102</f>
        <v>0</v>
      </c>
      <c r="R102" s="152">
        <f t="shared" si="18"/>
        <v>0</v>
      </c>
      <c r="S102" s="173" t="str">
        <f t="shared" si="19"/>
        <v/>
      </c>
      <c r="T102" s="154">
        <f t="shared" si="20"/>
        <v>0</v>
      </c>
      <c r="U102" s="170" t="str">
        <f t="shared" si="21"/>
        <v/>
      </c>
    </row>
    <row r="103" spans="1:21" x14ac:dyDescent="0.2">
      <c r="B103" s="116" t="s">
        <v>268</v>
      </c>
      <c r="F103" s="195"/>
      <c r="G103" s="166">
        <f>'CAC Inc Stmt'!G103+'AL Inc Stmt'!G103+'ESL Inc Stmt'!G103</f>
        <v>0</v>
      </c>
      <c r="H103" s="83">
        <f>'CAC Inc Stmt'!H103+'AL Inc Stmt'!H103+'ESL Inc Stmt'!H103</f>
        <v>0</v>
      </c>
      <c r="I103" s="83">
        <f>'CAC Inc Stmt'!I103+'AL Inc Stmt'!I103+'ESL Inc Stmt'!I103</f>
        <v>0</v>
      </c>
      <c r="J103" s="83">
        <f>'CAC Inc Stmt'!J103+'AL Inc Stmt'!J103+'ESL Inc Stmt'!J103</f>
        <v>0</v>
      </c>
      <c r="K103" s="15">
        <f>'CAC Inc Stmt'!K103+'AL Inc Stmt'!K103+'ESL Inc Stmt'!K103</f>
        <v>0</v>
      </c>
      <c r="L103" s="167">
        <f>'CAC Inc Stmt'!L103+'AL Inc Stmt'!L103+'ESL Inc Stmt'!L103</f>
        <v>0</v>
      </c>
      <c r="M103" s="148">
        <f>'CAC Inc Stmt'!M103+'AL Inc Stmt'!M103+'ESL Inc Stmt'!M103</f>
        <v>0</v>
      </c>
      <c r="N103" s="148">
        <f>'CAC Inc Stmt'!N103+'AL Inc Stmt'!N103+'ESL Inc Stmt'!N103</f>
        <v>0</v>
      </c>
      <c r="O103" s="148">
        <f>'CAC Inc Stmt'!O103+'AL Inc Stmt'!O103+'ESL Inc Stmt'!O103</f>
        <v>0</v>
      </c>
      <c r="P103" s="150">
        <f>'CAC Inc Stmt'!P103+'AL Inc Stmt'!P103+'ESL Inc Stmt'!P103</f>
        <v>0</v>
      </c>
      <c r="Q103" s="151">
        <f>'CAC Inc Stmt'!Q103+'AL Inc Stmt'!Q103+'ESL Inc Stmt'!Q103</f>
        <v>0</v>
      </c>
      <c r="R103" s="152">
        <f t="shared" si="18"/>
        <v>0</v>
      </c>
      <c r="S103" s="173" t="str">
        <f t="shared" si="19"/>
        <v/>
      </c>
      <c r="T103" s="154">
        <f t="shared" si="20"/>
        <v>0</v>
      </c>
      <c r="U103" s="170" t="str">
        <f t="shared" si="21"/>
        <v/>
      </c>
    </row>
    <row r="104" spans="1:21" x14ac:dyDescent="0.2">
      <c r="B104" s="116" t="s">
        <v>361</v>
      </c>
      <c r="F104" s="195"/>
      <c r="G104" s="166">
        <f>'CAC Inc Stmt'!G104+'AL Inc Stmt'!G104+'ESL Inc Stmt'!G104</f>
        <v>0</v>
      </c>
      <c r="H104" s="83">
        <f>'CAC Inc Stmt'!H104+'AL Inc Stmt'!H104+'ESL Inc Stmt'!H104</f>
        <v>0</v>
      </c>
      <c r="I104" s="83">
        <f>'CAC Inc Stmt'!I104+'AL Inc Stmt'!I104+'ESL Inc Stmt'!I104</f>
        <v>0</v>
      </c>
      <c r="J104" s="83">
        <f>'CAC Inc Stmt'!J104+'AL Inc Stmt'!J104+'ESL Inc Stmt'!J104</f>
        <v>0</v>
      </c>
      <c r="K104" s="15">
        <f>'CAC Inc Stmt'!K104+'AL Inc Stmt'!K104+'ESL Inc Stmt'!K104</f>
        <v>0</v>
      </c>
      <c r="L104" s="167">
        <f>'CAC Inc Stmt'!L104+'AL Inc Stmt'!L104+'ESL Inc Stmt'!L104</f>
        <v>0</v>
      </c>
      <c r="M104" s="148">
        <f>'CAC Inc Stmt'!M104+'AL Inc Stmt'!M104+'ESL Inc Stmt'!M104</f>
        <v>0</v>
      </c>
      <c r="N104" s="148">
        <f>'CAC Inc Stmt'!N104+'AL Inc Stmt'!N104+'ESL Inc Stmt'!N104</f>
        <v>0</v>
      </c>
      <c r="O104" s="148">
        <f>'CAC Inc Stmt'!O104+'AL Inc Stmt'!O104+'ESL Inc Stmt'!O104</f>
        <v>0</v>
      </c>
      <c r="P104" s="150">
        <f>'CAC Inc Stmt'!P104+'AL Inc Stmt'!P104+'ESL Inc Stmt'!P104</f>
        <v>0</v>
      </c>
      <c r="Q104" s="151">
        <f>'CAC Inc Stmt'!Q104+'AL Inc Stmt'!Q104+'ESL Inc Stmt'!Q104</f>
        <v>0</v>
      </c>
      <c r="R104" s="152">
        <f t="shared" si="18"/>
        <v>0</v>
      </c>
      <c r="S104" s="173" t="str">
        <f t="shared" si="19"/>
        <v/>
      </c>
      <c r="T104" s="154">
        <f t="shared" si="20"/>
        <v>0</v>
      </c>
      <c r="U104" s="170" t="str">
        <f t="shared" si="21"/>
        <v/>
      </c>
    </row>
    <row r="105" spans="1:21" x14ac:dyDescent="0.2">
      <c r="B105" s="116" t="s">
        <v>215</v>
      </c>
      <c r="F105" s="195"/>
      <c r="G105" s="166">
        <f>'CAC Inc Stmt'!G105+'AL Inc Stmt'!G105+'ESL Inc Stmt'!G105</f>
        <v>0</v>
      </c>
      <c r="H105" s="83">
        <f>'CAC Inc Stmt'!H105+'AL Inc Stmt'!H105+'ESL Inc Stmt'!H105</f>
        <v>0</v>
      </c>
      <c r="I105" s="83">
        <f>'CAC Inc Stmt'!I105+'AL Inc Stmt'!I105+'ESL Inc Stmt'!I105</f>
        <v>0</v>
      </c>
      <c r="J105" s="83">
        <f>'CAC Inc Stmt'!J105+'AL Inc Stmt'!J105+'ESL Inc Stmt'!J105</f>
        <v>0</v>
      </c>
      <c r="K105" s="15">
        <f>'CAC Inc Stmt'!K105+'AL Inc Stmt'!K105+'ESL Inc Stmt'!K105</f>
        <v>0</v>
      </c>
      <c r="L105" s="167">
        <f>'CAC Inc Stmt'!L105+'AL Inc Stmt'!L105+'ESL Inc Stmt'!L105</f>
        <v>0</v>
      </c>
      <c r="M105" s="148">
        <f>'CAC Inc Stmt'!M105+'AL Inc Stmt'!M105+'ESL Inc Stmt'!M105</f>
        <v>0</v>
      </c>
      <c r="N105" s="148">
        <f>'CAC Inc Stmt'!N105+'AL Inc Stmt'!N105+'ESL Inc Stmt'!N105</f>
        <v>0</v>
      </c>
      <c r="O105" s="148">
        <f>'CAC Inc Stmt'!O105+'AL Inc Stmt'!O105+'ESL Inc Stmt'!O105</f>
        <v>0</v>
      </c>
      <c r="P105" s="150">
        <f>'CAC Inc Stmt'!P105+'AL Inc Stmt'!P105+'ESL Inc Stmt'!P105</f>
        <v>0</v>
      </c>
      <c r="Q105" s="151">
        <f>'CAC Inc Stmt'!Q105+'AL Inc Stmt'!Q105+'ESL Inc Stmt'!Q105</f>
        <v>0</v>
      </c>
      <c r="R105" s="152">
        <f t="shared" si="18"/>
        <v>0</v>
      </c>
      <c r="S105" s="173" t="str">
        <f t="shared" si="19"/>
        <v/>
      </c>
      <c r="T105" s="154">
        <f t="shared" si="20"/>
        <v>0</v>
      </c>
      <c r="U105" s="170" t="str">
        <f t="shared" si="21"/>
        <v/>
      </c>
    </row>
    <row r="106" spans="1:21" x14ac:dyDescent="0.2">
      <c r="B106" s="116" t="s">
        <v>68</v>
      </c>
      <c r="F106" s="195"/>
      <c r="G106" s="166">
        <f>'CAC Inc Stmt'!G106+'AL Inc Stmt'!G106+'ESL Inc Stmt'!G106</f>
        <v>0</v>
      </c>
      <c r="H106" s="83">
        <f>'CAC Inc Stmt'!H106+'AL Inc Stmt'!H106+'ESL Inc Stmt'!H106</f>
        <v>0</v>
      </c>
      <c r="I106" s="83">
        <f>'CAC Inc Stmt'!I106+'AL Inc Stmt'!I106+'ESL Inc Stmt'!I106</f>
        <v>0</v>
      </c>
      <c r="J106" s="83">
        <f>'CAC Inc Stmt'!J106+'AL Inc Stmt'!J106+'ESL Inc Stmt'!J106</f>
        <v>0</v>
      </c>
      <c r="K106" s="15">
        <f>'CAC Inc Stmt'!K106+'AL Inc Stmt'!K106+'ESL Inc Stmt'!K106</f>
        <v>0</v>
      </c>
      <c r="L106" s="167">
        <f>'CAC Inc Stmt'!L106+'AL Inc Stmt'!L106+'ESL Inc Stmt'!L106</f>
        <v>0</v>
      </c>
      <c r="M106" s="148">
        <f>'CAC Inc Stmt'!M106+'AL Inc Stmt'!M106+'ESL Inc Stmt'!M106</f>
        <v>0</v>
      </c>
      <c r="N106" s="148">
        <f>'CAC Inc Stmt'!N106+'AL Inc Stmt'!N106+'ESL Inc Stmt'!N106</f>
        <v>0</v>
      </c>
      <c r="O106" s="148">
        <f>'CAC Inc Stmt'!O106+'AL Inc Stmt'!O106+'ESL Inc Stmt'!O106</f>
        <v>0</v>
      </c>
      <c r="P106" s="150">
        <f>'CAC Inc Stmt'!P106+'AL Inc Stmt'!P106+'ESL Inc Stmt'!P106</f>
        <v>0</v>
      </c>
      <c r="Q106" s="151">
        <f>'CAC Inc Stmt'!Q106+'AL Inc Stmt'!Q106+'ESL Inc Stmt'!Q106</f>
        <v>0</v>
      </c>
      <c r="R106" s="152">
        <f t="shared" si="18"/>
        <v>0</v>
      </c>
      <c r="S106" s="173" t="str">
        <f t="shared" si="19"/>
        <v/>
      </c>
      <c r="T106" s="154">
        <f t="shared" si="20"/>
        <v>0</v>
      </c>
      <c r="U106" s="170" t="str">
        <f t="shared" si="21"/>
        <v/>
      </c>
    </row>
    <row r="107" spans="1:21" x14ac:dyDescent="0.2">
      <c r="B107" s="116" t="s">
        <v>67</v>
      </c>
      <c r="F107" s="195"/>
      <c r="G107" s="166">
        <f>'CAC Inc Stmt'!G107+'AL Inc Stmt'!G107+'ESL Inc Stmt'!G107</f>
        <v>0</v>
      </c>
      <c r="H107" s="83">
        <f>'CAC Inc Stmt'!H107+'AL Inc Stmt'!H107+'ESL Inc Stmt'!H107</f>
        <v>0</v>
      </c>
      <c r="I107" s="83">
        <f>'CAC Inc Stmt'!I107+'AL Inc Stmt'!I107+'ESL Inc Stmt'!I107</f>
        <v>0</v>
      </c>
      <c r="J107" s="83">
        <f>'CAC Inc Stmt'!J107+'AL Inc Stmt'!J107+'ESL Inc Stmt'!J107</f>
        <v>0</v>
      </c>
      <c r="K107" s="15">
        <f>'CAC Inc Stmt'!K107+'AL Inc Stmt'!K107+'ESL Inc Stmt'!K107</f>
        <v>0</v>
      </c>
      <c r="L107" s="167">
        <f>'CAC Inc Stmt'!L107+'AL Inc Stmt'!L107+'ESL Inc Stmt'!L107</f>
        <v>0</v>
      </c>
      <c r="M107" s="148">
        <f>'CAC Inc Stmt'!M107+'AL Inc Stmt'!M107+'ESL Inc Stmt'!M107</f>
        <v>0</v>
      </c>
      <c r="N107" s="148">
        <f>'CAC Inc Stmt'!N107+'AL Inc Stmt'!N107+'ESL Inc Stmt'!N107</f>
        <v>0</v>
      </c>
      <c r="O107" s="148">
        <f>'CAC Inc Stmt'!O107+'AL Inc Stmt'!O107+'ESL Inc Stmt'!O107</f>
        <v>0</v>
      </c>
      <c r="P107" s="150">
        <f>'CAC Inc Stmt'!P107+'AL Inc Stmt'!P107+'ESL Inc Stmt'!P107</f>
        <v>0</v>
      </c>
      <c r="Q107" s="151">
        <f>'CAC Inc Stmt'!Q107+'AL Inc Stmt'!Q107+'ESL Inc Stmt'!Q107</f>
        <v>0</v>
      </c>
      <c r="R107" s="152">
        <f t="shared" si="18"/>
        <v>0</v>
      </c>
      <c r="S107" s="173" t="str">
        <f t="shared" si="19"/>
        <v/>
      </c>
      <c r="T107" s="154">
        <f t="shared" si="20"/>
        <v>0</v>
      </c>
      <c r="U107" s="170" t="str">
        <f t="shared" si="21"/>
        <v/>
      </c>
    </row>
    <row r="108" spans="1:21" x14ac:dyDescent="0.2">
      <c r="F108" s="195"/>
      <c r="G108" s="166"/>
      <c r="H108" s="83"/>
      <c r="I108" s="83"/>
      <c r="J108" s="83"/>
      <c r="K108" s="15"/>
      <c r="L108" s="167"/>
      <c r="M108" s="148"/>
      <c r="N108" s="148"/>
      <c r="O108" s="148"/>
      <c r="P108" s="150"/>
      <c r="Q108" s="151"/>
      <c r="R108" s="152"/>
      <c r="S108" s="153"/>
      <c r="T108" s="154"/>
      <c r="U108" s="170"/>
    </row>
    <row r="109" spans="1:21" x14ac:dyDescent="0.2">
      <c r="B109" s="118" t="s">
        <v>216</v>
      </c>
      <c r="F109" s="195"/>
      <c r="G109" s="175">
        <f>'CAC Inc Stmt'!G109+'AL Inc Stmt'!G109+'ESL Inc Stmt'!G109</f>
        <v>0</v>
      </c>
      <c r="H109" s="86">
        <f>'CAC Inc Stmt'!H109+'AL Inc Stmt'!H109+'ESL Inc Stmt'!H109</f>
        <v>0</v>
      </c>
      <c r="I109" s="86">
        <f>'CAC Inc Stmt'!I109+'AL Inc Stmt'!I109+'ESL Inc Stmt'!I109</f>
        <v>0</v>
      </c>
      <c r="J109" s="86">
        <f>'CAC Inc Stmt'!J109+'AL Inc Stmt'!J109+'ESL Inc Stmt'!J109</f>
        <v>0</v>
      </c>
      <c r="K109" s="243">
        <f>'CAC Inc Stmt'!K109+'AL Inc Stmt'!K109+'ESL Inc Stmt'!K109</f>
        <v>0</v>
      </c>
      <c r="L109" s="177">
        <f>'CAC Inc Stmt'!L109+'AL Inc Stmt'!L109+'ESL Inc Stmt'!L109</f>
        <v>0</v>
      </c>
      <c r="M109" s="176">
        <f>'CAC Inc Stmt'!M109+'AL Inc Stmt'!M109+'ESL Inc Stmt'!M109</f>
        <v>0</v>
      </c>
      <c r="N109" s="176">
        <f>'CAC Inc Stmt'!N109+'AL Inc Stmt'!N109+'ESL Inc Stmt'!N109</f>
        <v>0</v>
      </c>
      <c r="O109" s="176">
        <f>'CAC Inc Stmt'!O109+'AL Inc Stmt'!O109+'ESL Inc Stmt'!O109</f>
        <v>0</v>
      </c>
      <c r="P109" s="178">
        <f>'CAC Inc Stmt'!P109+'AL Inc Stmt'!P109+'ESL Inc Stmt'!P109</f>
        <v>0</v>
      </c>
      <c r="Q109" s="179">
        <f>'CAC Inc Stmt'!Q109+'AL Inc Stmt'!Q109+'ESL Inc Stmt'!Q109</f>
        <v>0</v>
      </c>
      <c r="R109" s="180">
        <f>SUM(R99:R108)</f>
        <v>0</v>
      </c>
      <c r="S109" s="181" t="str">
        <f>IF(Q109=0,"",P109/Q109)</f>
        <v/>
      </c>
      <c r="T109" s="182">
        <f>SUM(T99:T108)</f>
        <v>0</v>
      </c>
      <c r="U109" s="183" t="str">
        <f>IF(G109=0,"",P109/G109)</f>
        <v/>
      </c>
    </row>
    <row r="110" spans="1:21" x14ac:dyDescent="0.2">
      <c r="F110" s="195"/>
      <c r="G110" s="166"/>
      <c r="H110" s="83"/>
      <c r="I110" s="83"/>
      <c r="J110" s="83"/>
      <c r="K110" s="15"/>
      <c r="L110" s="167"/>
      <c r="M110" s="148"/>
      <c r="N110" s="148"/>
      <c r="O110" s="148"/>
      <c r="P110" s="150"/>
      <c r="Q110" s="151"/>
      <c r="R110" s="152"/>
      <c r="S110" s="153"/>
      <c r="T110" s="154"/>
      <c r="U110" s="170"/>
    </row>
    <row r="111" spans="1:21" x14ac:dyDescent="0.2">
      <c r="F111" s="195"/>
      <c r="G111" s="166"/>
      <c r="H111" s="226"/>
      <c r="I111" s="83"/>
      <c r="J111" s="83"/>
      <c r="K111" s="15"/>
      <c r="L111" s="167"/>
      <c r="M111" s="148"/>
      <c r="N111" s="148"/>
      <c r="O111" s="148"/>
      <c r="P111" s="150"/>
      <c r="Q111" s="151"/>
      <c r="R111" s="152"/>
      <c r="S111" s="153"/>
      <c r="T111" s="154"/>
      <c r="U111" s="170"/>
    </row>
    <row r="112" spans="1:21" x14ac:dyDescent="0.2">
      <c r="F112" s="195"/>
      <c r="G112" s="166"/>
      <c r="H112" s="83"/>
      <c r="I112" s="83"/>
      <c r="J112" s="83"/>
      <c r="K112" s="15"/>
      <c r="L112" s="167"/>
      <c r="M112" s="148"/>
      <c r="N112" s="148"/>
      <c r="O112" s="148"/>
      <c r="P112" s="150"/>
      <c r="Q112" s="151"/>
      <c r="R112" s="152"/>
      <c r="S112" s="153"/>
      <c r="T112" s="154"/>
      <c r="U112" s="170"/>
    </row>
    <row r="113" spans="1:21" x14ac:dyDescent="0.2">
      <c r="A113" s="118" t="s">
        <v>217</v>
      </c>
      <c r="F113" s="195"/>
      <c r="G113" s="166"/>
      <c r="H113" s="83"/>
      <c r="I113" s="83"/>
      <c r="J113" s="83"/>
      <c r="K113" s="15"/>
      <c r="L113" s="167"/>
      <c r="M113" s="148"/>
      <c r="N113" s="148"/>
      <c r="O113" s="148"/>
      <c r="P113" s="150"/>
      <c r="Q113" s="151"/>
      <c r="R113" s="152"/>
      <c r="S113" s="153"/>
      <c r="T113" s="154"/>
      <c r="U113" s="170"/>
    </row>
    <row r="114" spans="1:21" outlineLevel="1" x14ac:dyDescent="0.2">
      <c r="A114" s="118"/>
      <c r="B114" s="118" t="s">
        <v>272</v>
      </c>
      <c r="F114" s="195"/>
      <c r="G114" s="166"/>
      <c r="H114" s="83"/>
      <c r="I114" s="83"/>
      <c r="J114" s="83"/>
      <c r="K114" s="15"/>
      <c r="L114" s="167"/>
      <c r="M114" s="148"/>
      <c r="N114" s="148"/>
      <c r="O114" s="148"/>
      <c r="P114" s="150"/>
      <c r="Q114" s="151"/>
      <c r="R114" s="152"/>
      <c r="S114" s="153"/>
      <c r="T114" s="154"/>
      <c r="U114" s="170"/>
    </row>
    <row r="115" spans="1:21" outlineLevel="1" x14ac:dyDescent="0.2">
      <c r="A115" s="118"/>
      <c r="C115" t="s">
        <v>273</v>
      </c>
      <c r="F115" s="195"/>
      <c r="G115" s="166"/>
      <c r="H115" s="83"/>
      <c r="I115" s="83"/>
      <c r="J115" s="83"/>
      <c r="K115" s="15"/>
      <c r="L115" s="167"/>
      <c r="M115" s="148"/>
      <c r="N115" s="148"/>
      <c r="O115" s="148"/>
      <c r="P115" s="150"/>
      <c r="Q115" s="151"/>
      <c r="R115" s="152"/>
      <c r="S115" s="173" t="str">
        <f t="shared" ref="S115:S130" si="22">IF(Q115=0,"",P115/Q115)</f>
        <v/>
      </c>
      <c r="T115" s="154"/>
      <c r="U115" s="170" t="str">
        <f t="shared" ref="U115:U130" si="23">IF(G115=0,"",P115/G115)</f>
        <v/>
      </c>
    </row>
    <row r="116" spans="1:21" outlineLevel="1" x14ac:dyDescent="0.2">
      <c r="A116" s="118"/>
      <c r="C116" t="s">
        <v>274</v>
      </c>
      <c r="F116" s="195"/>
      <c r="G116" s="166"/>
      <c r="H116" s="83"/>
      <c r="I116" s="83"/>
      <c r="J116" s="83"/>
      <c r="K116" s="15"/>
      <c r="L116" s="167"/>
      <c r="M116" s="148"/>
      <c r="N116" s="148"/>
      <c r="O116" s="148"/>
      <c r="P116" s="150"/>
      <c r="Q116" s="151"/>
      <c r="R116" s="152"/>
      <c r="S116" s="173" t="str">
        <f t="shared" si="22"/>
        <v/>
      </c>
      <c r="T116" s="154"/>
      <c r="U116" s="170" t="str">
        <f t="shared" si="23"/>
        <v/>
      </c>
    </row>
    <row r="117" spans="1:21" outlineLevel="1" x14ac:dyDescent="0.2">
      <c r="A117" s="118"/>
      <c r="C117" t="s">
        <v>275</v>
      </c>
      <c r="F117" s="195"/>
      <c r="G117" s="166"/>
      <c r="H117" s="83"/>
      <c r="I117" s="83"/>
      <c r="J117" s="83"/>
      <c r="K117" s="15"/>
      <c r="L117" s="167"/>
      <c r="M117" s="148"/>
      <c r="N117" s="148"/>
      <c r="O117" s="148"/>
      <c r="P117" s="150"/>
      <c r="Q117" s="151"/>
      <c r="R117" s="152"/>
      <c r="S117" s="173" t="str">
        <f t="shared" si="22"/>
        <v/>
      </c>
      <c r="T117" s="154"/>
      <c r="U117" s="170" t="str">
        <f t="shared" si="23"/>
        <v/>
      </c>
    </row>
    <row r="118" spans="1:21" outlineLevel="1" x14ac:dyDescent="0.2">
      <c r="A118" s="118"/>
      <c r="C118" s="116" t="s">
        <v>276</v>
      </c>
      <c r="F118" s="195"/>
      <c r="G118" s="166"/>
      <c r="H118" s="83"/>
      <c r="I118" s="83"/>
      <c r="J118" s="83"/>
      <c r="K118" s="15"/>
      <c r="L118" s="167"/>
      <c r="M118" s="148"/>
      <c r="N118" s="148"/>
      <c r="O118" s="148"/>
      <c r="P118" s="150"/>
      <c r="Q118" s="151"/>
      <c r="R118" s="152"/>
      <c r="S118" s="173" t="str">
        <f t="shared" si="22"/>
        <v/>
      </c>
      <c r="T118" s="154"/>
      <c r="U118" s="170" t="str">
        <f t="shared" si="23"/>
        <v/>
      </c>
    </row>
    <row r="119" spans="1:21" outlineLevel="1" x14ac:dyDescent="0.2">
      <c r="A119" s="118"/>
      <c r="C119" s="116" t="s">
        <v>277</v>
      </c>
      <c r="F119" s="195"/>
      <c r="G119" s="166"/>
      <c r="H119" s="83"/>
      <c r="I119" s="83"/>
      <c r="J119" s="83"/>
      <c r="K119" s="15"/>
      <c r="L119" s="167"/>
      <c r="M119" s="148"/>
      <c r="N119" s="148"/>
      <c r="O119" s="148"/>
      <c r="P119" s="150"/>
      <c r="Q119" s="151"/>
      <c r="R119" s="152"/>
      <c r="S119" s="173" t="str">
        <f t="shared" si="22"/>
        <v/>
      </c>
      <c r="T119" s="154"/>
      <c r="U119" s="170" t="str">
        <f t="shared" si="23"/>
        <v/>
      </c>
    </row>
    <row r="120" spans="1:21" outlineLevel="1" x14ac:dyDescent="0.2">
      <c r="A120" s="118"/>
      <c r="C120" s="116" t="s">
        <v>278</v>
      </c>
      <c r="F120" s="195"/>
      <c r="G120" s="166"/>
      <c r="H120" s="83"/>
      <c r="I120" s="83"/>
      <c r="J120" s="83"/>
      <c r="K120" s="15"/>
      <c r="L120" s="167"/>
      <c r="M120" s="148"/>
      <c r="N120" s="148"/>
      <c r="O120" s="148"/>
      <c r="P120" s="150"/>
      <c r="Q120" s="151"/>
      <c r="R120" s="152"/>
      <c r="S120" s="173" t="str">
        <f t="shared" si="22"/>
        <v/>
      </c>
      <c r="T120" s="154"/>
      <c r="U120" s="170" t="str">
        <f t="shared" si="23"/>
        <v/>
      </c>
    </row>
    <row r="121" spans="1:21" outlineLevel="1" x14ac:dyDescent="0.2">
      <c r="A121" s="118"/>
      <c r="C121" s="116" t="s">
        <v>279</v>
      </c>
      <c r="F121" s="195"/>
      <c r="G121" s="166"/>
      <c r="H121" s="83"/>
      <c r="I121" s="83"/>
      <c r="J121" s="83"/>
      <c r="K121" s="15"/>
      <c r="L121" s="167"/>
      <c r="M121" s="148"/>
      <c r="N121" s="148"/>
      <c r="O121" s="148"/>
      <c r="P121" s="150"/>
      <c r="Q121" s="151"/>
      <c r="R121" s="152"/>
      <c r="S121" s="173" t="str">
        <f t="shared" si="22"/>
        <v/>
      </c>
      <c r="T121" s="154"/>
      <c r="U121" s="170" t="str">
        <f t="shared" si="23"/>
        <v/>
      </c>
    </row>
    <row r="122" spans="1:21" outlineLevel="1" x14ac:dyDescent="0.2">
      <c r="A122" s="118"/>
      <c r="C122" s="116" t="s">
        <v>280</v>
      </c>
      <c r="F122" s="195"/>
      <c r="G122" s="166"/>
      <c r="H122" s="83"/>
      <c r="I122" s="83"/>
      <c r="J122" s="83"/>
      <c r="K122" s="15"/>
      <c r="L122" s="167"/>
      <c r="M122" s="148"/>
      <c r="N122" s="148"/>
      <c r="O122" s="148"/>
      <c r="P122" s="150"/>
      <c r="Q122" s="151"/>
      <c r="R122" s="152"/>
      <c r="S122" s="173" t="str">
        <f t="shared" si="22"/>
        <v/>
      </c>
      <c r="T122" s="154"/>
      <c r="U122" s="170" t="str">
        <f t="shared" si="23"/>
        <v/>
      </c>
    </row>
    <row r="123" spans="1:21" outlineLevel="1" x14ac:dyDescent="0.2">
      <c r="A123" s="118"/>
      <c r="C123" s="116" t="s">
        <v>281</v>
      </c>
      <c r="F123" s="195"/>
      <c r="G123" s="166"/>
      <c r="H123" s="83"/>
      <c r="I123" s="83"/>
      <c r="J123" s="83"/>
      <c r="K123" s="15"/>
      <c r="L123" s="167"/>
      <c r="M123" s="148"/>
      <c r="N123" s="148"/>
      <c r="O123" s="148"/>
      <c r="P123" s="150"/>
      <c r="Q123" s="151"/>
      <c r="R123" s="152"/>
      <c r="S123" s="173" t="str">
        <f t="shared" si="22"/>
        <v/>
      </c>
      <c r="T123" s="154"/>
      <c r="U123" s="170" t="str">
        <f t="shared" si="23"/>
        <v/>
      </c>
    </row>
    <row r="124" spans="1:21" outlineLevel="1" x14ac:dyDescent="0.2">
      <c r="A124" s="118"/>
      <c r="C124" s="116" t="s">
        <v>109</v>
      </c>
      <c r="F124" s="195"/>
      <c r="G124" s="166"/>
      <c r="H124" s="83"/>
      <c r="I124" s="83"/>
      <c r="J124" s="83"/>
      <c r="K124" s="15"/>
      <c r="L124" s="167"/>
      <c r="M124" s="148"/>
      <c r="N124" s="148"/>
      <c r="O124" s="148"/>
      <c r="P124" s="150"/>
      <c r="Q124" s="151"/>
      <c r="R124" s="152"/>
      <c r="S124" s="173" t="str">
        <f t="shared" si="22"/>
        <v/>
      </c>
      <c r="T124" s="154"/>
      <c r="U124" s="170" t="str">
        <f t="shared" si="23"/>
        <v/>
      </c>
    </row>
    <row r="125" spans="1:21" outlineLevel="1" x14ac:dyDescent="0.2">
      <c r="A125" s="118"/>
      <c r="C125" s="116" t="s">
        <v>110</v>
      </c>
      <c r="F125" s="195"/>
      <c r="G125" s="166"/>
      <c r="H125" s="83"/>
      <c r="I125" s="83"/>
      <c r="J125" s="83"/>
      <c r="K125" s="15"/>
      <c r="L125" s="167"/>
      <c r="M125" s="148"/>
      <c r="N125" s="148"/>
      <c r="O125" s="148"/>
      <c r="P125" s="150"/>
      <c r="Q125" s="151"/>
      <c r="R125" s="152"/>
      <c r="S125" s="173" t="str">
        <f t="shared" si="22"/>
        <v/>
      </c>
      <c r="T125" s="154"/>
      <c r="U125" s="170" t="str">
        <f t="shared" si="23"/>
        <v/>
      </c>
    </row>
    <row r="126" spans="1:21" outlineLevel="1" x14ac:dyDescent="0.2">
      <c r="A126" s="118"/>
      <c r="C126" s="116" t="s">
        <v>111</v>
      </c>
      <c r="F126" s="195"/>
      <c r="G126" s="166"/>
      <c r="H126" s="83"/>
      <c r="I126" s="83"/>
      <c r="J126" s="83"/>
      <c r="K126" s="15"/>
      <c r="L126" s="167"/>
      <c r="M126" s="148"/>
      <c r="N126" s="148"/>
      <c r="O126" s="148"/>
      <c r="P126" s="150"/>
      <c r="Q126" s="151"/>
      <c r="R126" s="152"/>
      <c r="S126" s="173" t="str">
        <f t="shared" si="22"/>
        <v/>
      </c>
      <c r="T126" s="154"/>
      <c r="U126" s="170" t="str">
        <f t="shared" si="23"/>
        <v/>
      </c>
    </row>
    <row r="127" spans="1:21" outlineLevel="1" x14ac:dyDescent="0.2">
      <c r="A127" s="118"/>
      <c r="C127" s="116" t="s">
        <v>112</v>
      </c>
      <c r="F127" s="195"/>
      <c r="G127" s="166"/>
      <c r="H127" s="83"/>
      <c r="I127" s="83"/>
      <c r="J127" s="83"/>
      <c r="K127" s="15"/>
      <c r="L127" s="167"/>
      <c r="M127" s="148"/>
      <c r="N127" s="148"/>
      <c r="O127" s="148"/>
      <c r="P127" s="150"/>
      <c r="Q127" s="151"/>
      <c r="R127" s="152"/>
      <c r="S127" s="173" t="str">
        <f t="shared" si="22"/>
        <v/>
      </c>
      <c r="T127" s="154"/>
      <c r="U127" s="170" t="str">
        <f t="shared" si="23"/>
        <v/>
      </c>
    </row>
    <row r="128" spans="1:21" outlineLevel="1" x14ac:dyDescent="0.2">
      <c r="A128" s="118"/>
      <c r="C128" s="116" t="s">
        <v>113</v>
      </c>
      <c r="F128" s="195"/>
      <c r="G128" s="166"/>
      <c r="H128" s="83"/>
      <c r="I128" s="83"/>
      <c r="J128" s="83"/>
      <c r="K128" s="15"/>
      <c r="L128" s="167"/>
      <c r="M128" s="148"/>
      <c r="N128" s="148"/>
      <c r="O128" s="148"/>
      <c r="P128" s="150"/>
      <c r="Q128" s="151"/>
      <c r="R128" s="152"/>
      <c r="S128" s="173" t="str">
        <f t="shared" si="22"/>
        <v/>
      </c>
      <c r="T128" s="154"/>
      <c r="U128" s="170" t="str">
        <f t="shared" si="23"/>
        <v/>
      </c>
    </row>
    <row r="129" spans="1:21" outlineLevel="1" x14ac:dyDescent="0.2">
      <c r="A129" s="118"/>
      <c r="C129" s="116" t="s">
        <v>114</v>
      </c>
      <c r="F129" s="195"/>
      <c r="G129" s="166"/>
      <c r="H129" s="83"/>
      <c r="I129" s="83"/>
      <c r="J129" s="83"/>
      <c r="K129" s="15"/>
      <c r="L129" s="167"/>
      <c r="M129" s="148"/>
      <c r="N129" s="148"/>
      <c r="O129" s="148"/>
      <c r="P129" s="150"/>
      <c r="Q129" s="151"/>
      <c r="R129" s="152"/>
      <c r="S129" s="173" t="str">
        <f t="shared" si="22"/>
        <v/>
      </c>
      <c r="T129" s="154"/>
      <c r="U129" s="170" t="str">
        <f t="shared" si="23"/>
        <v/>
      </c>
    </row>
    <row r="130" spans="1:21" outlineLevel="1" x14ac:dyDescent="0.2">
      <c r="A130" s="118"/>
      <c r="F130" s="195"/>
      <c r="G130" s="166"/>
      <c r="H130" s="83"/>
      <c r="I130" s="83"/>
      <c r="J130" s="83"/>
      <c r="K130" s="15"/>
      <c r="L130" s="167"/>
      <c r="M130" s="148"/>
      <c r="N130" s="148"/>
      <c r="O130" s="148"/>
      <c r="P130" s="150"/>
      <c r="Q130" s="151"/>
      <c r="R130" s="152"/>
      <c r="S130" s="173" t="str">
        <f t="shared" si="22"/>
        <v/>
      </c>
      <c r="T130" s="154"/>
      <c r="U130" s="170" t="str">
        <f t="shared" si="23"/>
        <v/>
      </c>
    </row>
    <row r="131" spans="1:21" outlineLevel="1" x14ac:dyDescent="0.2">
      <c r="A131" s="118"/>
      <c r="F131" s="195"/>
      <c r="G131" s="166"/>
      <c r="H131" s="83"/>
      <c r="I131" s="83"/>
      <c r="J131" s="83"/>
      <c r="K131" s="15"/>
      <c r="L131" s="167"/>
      <c r="M131" s="148"/>
      <c r="N131" s="148"/>
      <c r="O131" s="148"/>
      <c r="P131" s="150"/>
      <c r="Q131" s="151"/>
      <c r="R131" s="152"/>
      <c r="S131" s="153"/>
      <c r="T131" s="154"/>
      <c r="U131" s="170"/>
    </row>
    <row r="132" spans="1:21" x14ac:dyDescent="0.2">
      <c r="A132" s="118"/>
      <c r="C132" s="118" t="s">
        <v>137</v>
      </c>
      <c r="F132" s="195"/>
      <c r="G132" s="157">
        <f>'CAC Inc Stmt'!G132+'AL Inc Stmt'!G132+'ESL Inc Stmt'!G132</f>
        <v>13475</v>
      </c>
      <c r="H132" s="84">
        <f>'CAC Inc Stmt'!H132+'AL Inc Stmt'!H132+'ESL Inc Stmt'!H132</f>
        <v>0</v>
      </c>
      <c r="I132" s="84">
        <f>'CAC Inc Stmt'!I132+'AL Inc Stmt'!I132+'ESL Inc Stmt'!I132</f>
        <v>27851</v>
      </c>
      <c r="J132" s="84">
        <f>'CAC Inc Stmt'!J132+'AL Inc Stmt'!J132+'ESL Inc Stmt'!J132</f>
        <v>38119</v>
      </c>
      <c r="K132" s="241">
        <f>'CAC Inc Stmt'!K132+'AL Inc Stmt'!K132+'ESL Inc Stmt'!K132</f>
        <v>38119</v>
      </c>
      <c r="L132" s="159">
        <f>'CAC Inc Stmt'!L132+'AL Inc Stmt'!L132+'ESL Inc Stmt'!L132</f>
        <v>0</v>
      </c>
      <c r="M132" s="158">
        <f>'CAC Inc Stmt'!M132+'AL Inc Stmt'!M132+'ESL Inc Stmt'!M132</f>
        <v>27851</v>
      </c>
      <c r="N132" s="158">
        <f>'CAC Inc Stmt'!N132+'AL Inc Stmt'!N132+'ESL Inc Stmt'!N132</f>
        <v>10268</v>
      </c>
      <c r="O132" s="158">
        <f>'CAC Inc Stmt'!O132+'AL Inc Stmt'!O132+'ESL Inc Stmt'!O132</f>
        <v>0</v>
      </c>
      <c r="P132" s="160">
        <f>'CAC Inc Stmt'!P132+'AL Inc Stmt'!P132+'ESL Inc Stmt'!P132</f>
        <v>38119</v>
      </c>
      <c r="Q132" s="161">
        <f>'CAC Inc Stmt'!Q132+'AL Inc Stmt'!Q132+'ESL Inc Stmt'!Q132</f>
        <v>60300</v>
      </c>
      <c r="R132" s="162">
        <f>SUM(R115:R131)</f>
        <v>0</v>
      </c>
      <c r="S132" s="171">
        <f>IF(Q132=0,"",P132/Q132)</f>
        <v>0.63215588723051408</v>
      </c>
      <c r="T132" s="164">
        <f>SUM(T115:T131)</f>
        <v>0</v>
      </c>
      <c r="U132" s="205">
        <f>IF(G132=0,"",P132/G132)</f>
        <v>2.8288682745825602</v>
      </c>
    </row>
    <row r="133" spans="1:21" x14ac:dyDescent="0.2">
      <c r="A133" s="118"/>
      <c r="F133" s="195"/>
      <c r="G133" s="166"/>
      <c r="H133" s="83"/>
      <c r="I133" s="83"/>
      <c r="J133" s="83"/>
      <c r="K133" s="15"/>
      <c r="L133" s="167"/>
      <c r="M133" s="148"/>
      <c r="N133" s="148"/>
      <c r="O133" s="148"/>
      <c r="P133" s="150"/>
      <c r="Q133" s="151"/>
      <c r="R133" s="152"/>
      <c r="S133" s="153"/>
      <c r="T133" s="154"/>
      <c r="U133" s="170"/>
    </row>
    <row r="134" spans="1:21" x14ac:dyDescent="0.2">
      <c r="B134" s="118" t="s">
        <v>364</v>
      </c>
      <c r="F134" s="195"/>
      <c r="G134" s="166"/>
      <c r="H134" s="83"/>
      <c r="I134" s="83"/>
      <c r="J134" s="83"/>
      <c r="K134" s="15"/>
      <c r="L134" s="167"/>
      <c r="M134" s="148"/>
      <c r="N134" s="148"/>
      <c r="O134" s="148"/>
      <c r="P134" s="150"/>
      <c r="Q134" s="151"/>
      <c r="R134" s="152">
        <f>P134-Q134</f>
        <v>0</v>
      </c>
      <c r="S134" s="173" t="str">
        <f>IF(Q134=0,"",P134/Q134)</f>
        <v/>
      </c>
      <c r="T134" s="154">
        <f>P134-G134</f>
        <v>0</v>
      </c>
      <c r="U134" s="170" t="str">
        <f>IF(G134=0,"",P134/G134)</f>
        <v/>
      </c>
    </row>
    <row r="135" spans="1:21" x14ac:dyDescent="0.2">
      <c r="C135" s="116" t="s">
        <v>218</v>
      </c>
      <c r="F135" s="195"/>
      <c r="G135" s="166">
        <f>'CAC Inc Stmt'!G135+'AL Inc Stmt'!G135+'ESL Inc Stmt'!G135</f>
        <v>13680</v>
      </c>
      <c r="H135" s="85">
        <f>'CAC Inc Stmt'!H135+'AL Inc Stmt'!H135+'ESL Inc Stmt'!H135</f>
        <v>13401</v>
      </c>
      <c r="I135" s="83">
        <f>'CAC Inc Stmt'!I135+'AL Inc Stmt'!I135+'ESL Inc Stmt'!I135</f>
        <v>13401</v>
      </c>
      <c r="J135" s="83">
        <f>'CAC Inc Stmt'!J135+'AL Inc Stmt'!J135+'ESL Inc Stmt'!J135</f>
        <v>13401</v>
      </c>
      <c r="K135" s="15">
        <f>'CAC Inc Stmt'!K135+'AL Inc Stmt'!K135+'ESL Inc Stmt'!K135</f>
        <v>13401</v>
      </c>
      <c r="L135" s="167">
        <f>'CAC Inc Stmt'!L135+'AL Inc Stmt'!L135+'ESL Inc Stmt'!L135</f>
        <v>13401</v>
      </c>
      <c r="M135" s="148">
        <f>'CAC Inc Stmt'!M135+'AL Inc Stmt'!M135+'ESL Inc Stmt'!M135</f>
        <v>0</v>
      </c>
      <c r="N135" s="148">
        <f>'CAC Inc Stmt'!N135+'AL Inc Stmt'!N135+'ESL Inc Stmt'!N135</f>
        <v>0</v>
      </c>
      <c r="O135" s="148">
        <f>'CAC Inc Stmt'!O135+'AL Inc Stmt'!O135+'ESL Inc Stmt'!O135</f>
        <v>0</v>
      </c>
      <c r="P135" s="150">
        <f>'CAC Inc Stmt'!P135+'AL Inc Stmt'!P135+'ESL Inc Stmt'!P135</f>
        <v>13401</v>
      </c>
      <c r="Q135" s="151">
        <f>'CAC Inc Stmt'!Q135+'AL Inc Stmt'!Q135+'ESL Inc Stmt'!Q135</f>
        <v>13734</v>
      </c>
      <c r="R135" s="152">
        <f>P135-Q135</f>
        <v>-333</v>
      </c>
      <c r="S135" s="173">
        <f>IF(Q135=0,"",P135/Q135)</f>
        <v>0.97575360419397117</v>
      </c>
      <c r="T135" s="154">
        <f>P135-G135</f>
        <v>-279</v>
      </c>
      <c r="U135" s="170">
        <f>IF(G135=0,"",P135/G135)</f>
        <v>0.97960526315789476</v>
      </c>
    </row>
    <row r="136" spans="1:21" x14ac:dyDescent="0.2">
      <c r="C136" s="116" t="s">
        <v>219</v>
      </c>
      <c r="F136" s="195"/>
      <c r="G136" s="166">
        <f>'CAC Inc Stmt'!G136+'AL Inc Stmt'!G136+'ESL Inc Stmt'!G136</f>
        <v>1100</v>
      </c>
      <c r="H136" s="85">
        <f>'CAC Inc Stmt'!H136+'AL Inc Stmt'!H136+'ESL Inc Stmt'!H136</f>
        <v>1100</v>
      </c>
      <c r="I136" s="85">
        <f>'CAC Inc Stmt'!I136+'AL Inc Stmt'!I136+'ESL Inc Stmt'!I136</f>
        <v>1100</v>
      </c>
      <c r="J136" s="83">
        <f>'CAC Inc Stmt'!J136+'AL Inc Stmt'!J136+'ESL Inc Stmt'!J136</f>
        <v>1100</v>
      </c>
      <c r="K136" s="15">
        <f>'CAC Inc Stmt'!K136+'AL Inc Stmt'!K136+'ESL Inc Stmt'!K136</f>
        <v>1100</v>
      </c>
      <c r="L136" s="167">
        <f>'CAC Inc Stmt'!L136+'AL Inc Stmt'!L136+'ESL Inc Stmt'!L136</f>
        <v>1100</v>
      </c>
      <c r="M136" s="148">
        <f>'CAC Inc Stmt'!M136+'AL Inc Stmt'!M136+'ESL Inc Stmt'!M136</f>
        <v>0</v>
      </c>
      <c r="N136" s="148">
        <f>'CAC Inc Stmt'!N136+'AL Inc Stmt'!N136+'ESL Inc Stmt'!N136</f>
        <v>0</v>
      </c>
      <c r="O136" s="148">
        <f>'CAC Inc Stmt'!O136+'AL Inc Stmt'!O136+'ESL Inc Stmt'!O136</f>
        <v>0</v>
      </c>
      <c r="P136" s="150">
        <f>'CAC Inc Stmt'!P136+'AL Inc Stmt'!P136+'ESL Inc Stmt'!P136</f>
        <v>1100</v>
      </c>
      <c r="Q136" s="151">
        <f>'CAC Inc Stmt'!Q136+'AL Inc Stmt'!Q136+'ESL Inc Stmt'!Q136</f>
        <v>1100</v>
      </c>
      <c r="R136" s="152">
        <f>P136-Q136</f>
        <v>0</v>
      </c>
      <c r="S136" s="173">
        <f>IF(Q136=0,"",P136/Q136)</f>
        <v>1</v>
      </c>
      <c r="T136" s="154">
        <f>P136-G136</f>
        <v>0</v>
      </c>
      <c r="U136" s="170">
        <f>IF(G136=0,"",P136/G136)</f>
        <v>1</v>
      </c>
    </row>
    <row r="137" spans="1:21" x14ac:dyDescent="0.2">
      <c r="C137" s="116" t="s">
        <v>362</v>
      </c>
      <c r="F137" s="195"/>
      <c r="G137" s="166">
        <f>'CAC Inc Stmt'!G137+'AL Inc Stmt'!G137+'ESL Inc Stmt'!G137</f>
        <v>987.2</v>
      </c>
      <c r="H137" s="85">
        <f>'CAC Inc Stmt'!H137+'AL Inc Stmt'!H137+'ESL Inc Stmt'!H137</f>
        <v>987.2</v>
      </c>
      <c r="I137" s="85">
        <f>'CAC Inc Stmt'!I137+'AL Inc Stmt'!I137+'ESL Inc Stmt'!I137</f>
        <v>987.2</v>
      </c>
      <c r="J137" s="85">
        <f>'CAC Inc Stmt'!J137+'AL Inc Stmt'!J137+'ESL Inc Stmt'!J137</f>
        <v>987.2</v>
      </c>
      <c r="K137" s="15">
        <f>'CAC Inc Stmt'!K137+'AL Inc Stmt'!K137+'ESL Inc Stmt'!K137</f>
        <v>987.2</v>
      </c>
      <c r="L137" s="167">
        <f>'CAC Inc Stmt'!L137+'AL Inc Stmt'!L137+'ESL Inc Stmt'!L137</f>
        <v>987.2</v>
      </c>
      <c r="M137" s="148">
        <f>'CAC Inc Stmt'!M137+'AL Inc Stmt'!M137+'ESL Inc Stmt'!M137</f>
        <v>0</v>
      </c>
      <c r="N137" s="148">
        <f>'CAC Inc Stmt'!N137+'AL Inc Stmt'!N137+'ESL Inc Stmt'!N137</f>
        <v>0</v>
      </c>
      <c r="O137" s="148">
        <f>'CAC Inc Stmt'!O137+'AL Inc Stmt'!O137+'ESL Inc Stmt'!O137</f>
        <v>0</v>
      </c>
      <c r="P137" s="150">
        <f>'CAC Inc Stmt'!P137+'AL Inc Stmt'!P137+'ESL Inc Stmt'!P137</f>
        <v>987.2</v>
      </c>
      <c r="Q137" s="151">
        <f>'CAC Inc Stmt'!Q137+'AL Inc Stmt'!Q137+'ESL Inc Stmt'!Q137</f>
        <v>987</v>
      </c>
      <c r="R137" s="152">
        <f>P137-Q137</f>
        <v>0.20000000000004547</v>
      </c>
      <c r="S137" s="173">
        <f>IF(Q137=0,"",P137/Q137)</f>
        <v>1.0002026342451875</v>
      </c>
      <c r="T137" s="154">
        <f>P137-G137</f>
        <v>0</v>
      </c>
      <c r="U137" s="170">
        <f>IF(G137=0,"",P137/G137)</f>
        <v>1</v>
      </c>
    </row>
    <row r="138" spans="1:21" x14ac:dyDescent="0.2">
      <c r="C138" s="116" t="s">
        <v>363</v>
      </c>
      <c r="F138" s="195"/>
      <c r="G138" s="166">
        <f>'CAC Inc Stmt'!G138+'AL Inc Stmt'!G138+'ESL Inc Stmt'!G138</f>
        <v>1646</v>
      </c>
      <c r="H138" s="85">
        <f>'CAC Inc Stmt'!H138+'AL Inc Stmt'!H138+'ESL Inc Stmt'!H138</f>
        <v>2641</v>
      </c>
      <c r="I138" s="85">
        <f>'CAC Inc Stmt'!I138+'AL Inc Stmt'!I138+'ESL Inc Stmt'!I138</f>
        <v>2641</v>
      </c>
      <c r="J138" s="85">
        <f>'CAC Inc Stmt'!J138+'AL Inc Stmt'!J138+'ESL Inc Stmt'!J138</f>
        <v>2641</v>
      </c>
      <c r="K138" s="15">
        <f>'CAC Inc Stmt'!K138+'AL Inc Stmt'!K138+'ESL Inc Stmt'!K138</f>
        <v>2641</v>
      </c>
      <c r="L138" s="167">
        <f>'CAC Inc Stmt'!L138+'AL Inc Stmt'!L138+'ESL Inc Stmt'!L138</f>
        <v>2641</v>
      </c>
      <c r="M138" s="148">
        <f>'CAC Inc Stmt'!M138+'AL Inc Stmt'!M138+'ESL Inc Stmt'!M138</f>
        <v>0</v>
      </c>
      <c r="N138" s="148">
        <f>'CAC Inc Stmt'!N138+'AL Inc Stmt'!N138+'ESL Inc Stmt'!N138</f>
        <v>0</v>
      </c>
      <c r="O138" s="148">
        <f>'CAC Inc Stmt'!O138+'AL Inc Stmt'!O138+'ESL Inc Stmt'!O138</f>
        <v>0</v>
      </c>
      <c r="P138" s="150">
        <f>'CAC Inc Stmt'!P138+'AL Inc Stmt'!P138+'ESL Inc Stmt'!P138</f>
        <v>2641</v>
      </c>
      <c r="Q138" s="151">
        <f>'CAC Inc Stmt'!Q138+'AL Inc Stmt'!Q138+'ESL Inc Stmt'!Q138</f>
        <v>2641</v>
      </c>
      <c r="R138" s="152">
        <f>P138-Q138</f>
        <v>0</v>
      </c>
      <c r="S138" s="173">
        <f>IF(Q138=0,"",P138/Q138)</f>
        <v>1</v>
      </c>
      <c r="T138" s="154">
        <f>P138-G138</f>
        <v>995</v>
      </c>
      <c r="U138" s="170">
        <f>IF(G138=0,"",P138/G138)</f>
        <v>1.6044957472660997</v>
      </c>
    </row>
    <row r="139" spans="1:21" x14ac:dyDescent="0.2">
      <c r="F139" s="195"/>
      <c r="G139" s="166"/>
      <c r="H139" s="83"/>
      <c r="I139" s="83"/>
      <c r="J139" s="83"/>
      <c r="K139" s="15"/>
      <c r="L139" s="167"/>
      <c r="M139" s="148"/>
      <c r="N139" s="148"/>
      <c r="O139" s="148"/>
      <c r="P139" s="150"/>
      <c r="Q139" s="151"/>
      <c r="R139" s="152"/>
      <c r="S139" s="153"/>
      <c r="T139" s="154"/>
      <c r="U139" s="170"/>
    </row>
    <row r="140" spans="1:21" x14ac:dyDescent="0.2">
      <c r="C140" s="118" t="s">
        <v>182</v>
      </c>
      <c r="F140" s="195">
        <v>8520</v>
      </c>
      <c r="G140" s="157">
        <f>'CAC Inc Stmt'!G140+'AL Inc Stmt'!G140+'ESL Inc Stmt'!G140</f>
        <v>17413.2</v>
      </c>
      <c r="H140" s="84">
        <f>'CAC Inc Stmt'!H140+'AL Inc Stmt'!H140+'ESL Inc Stmt'!H140</f>
        <v>18129.2</v>
      </c>
      <c r="I140" s="84">
        <f>'CAC Inc Stmt'!I140+'AL Inc Stmt'!I140+'ESL Inc Stmt'!I140</f>
        <v>18129.2</v>
      </c>
      <c r="J140" s="84">
        <f>'CAC Inc Stmt'!J140+'AL Inc Stmt'!J140+'ESL Inc Stmt'!J140</f>
        <v>18129.2</v>
      </c>
      <c r="K140" s="241">
        <f>'CAC Inc Stmt'!K140+'AL Inc Stmt'!K140+'ESL Inc Stmt'!K140</f>
        <v>18129.2</v>
      </c>
      <c r="L140" s="159">
        <f>'CAC Inc Stmt'!L140+'AL Inc Stmt'!L140+'ESL Inc Stmt'!L140</f>
        <v>18129.2</v>
      </c>
      <c r="M140" s="158">
        <f>'CAC Inc Stmt'!M140+'AL Inc Stmt'!M140+'ESL Inc Stmt'!M140</f>
        <v>0</v>
      </c>
      <c r="N140" s="158">
        <f>'CAC Inc Stmt'!N140+'AL Inc Stmt'!N140+'ESL Inc Stmt'!N140</f>
        <v>0</v>
      </c>
      <c r="O140" s="158">
        <f>'CAC Inc Stmt'!O140+'AL Inc Stmt'!O140+'ESL Inc Stmt'!O140</f>
        <v>0</v>
      </c>
      <c r="P140" s="160">
        <f>'CAC Inc Stmt'!P140+'AL Inc Stmt'!P140+'ESL Inc Stmt'!P140</f>
        <v>18129.2</v>
      </c>
      <c r="Q140" s="161">
        <f>'CAC Inc Stmt'!Q140+'AL Inc Stmt'!Q140+'ESL Inc Stmt'!Q140</f>
        <v>18462</v>
      </c>
      <c r="R140" s="162">
        <f>SUM(R134:R139)</f>
        <v>-332.79999999999995</v>
      </c>
      <c r="S140" s="171">
        <f>IF(Q140=0,"",P140/Q140)</f>
        <v>0.98197378398873369</v>
      </c>
      <c r="T140" s="164">
        <f>SUM(T134:T139)</f>
        <v>716</v>
      </c>
      <c r="U140" s="205">
        <f>IF(G140=0,"",P140/G140)</f>
        <v>1.0411182321457286</v>
      </c>
    </row>
    <row r="141" spans="1:21" x14ac:dyDescent="0.2">
      <c r="F141" s="195"/>
      <c r="G141" s="166"/>
      <c r="H141" s="83"/>
      <c r="I141" s="83"/>
      <c r="J141" s="83"/>
      <c r="K141" s="15"/>
      <c r="L141" s="167"/>
      <c r="M141" s="148"/>
      <c r="N141" s="148"/>
      <c r="O141" s="148"/>
      <c r="P141" s="150"/>
      <c r="Q141" s="151"/>
      <c r="R141" s="152"/>
      <c r="S141" s="153"/>
      <c r="T141" s="154"/>
      <c r="U141" s="170"/>
    </row>
    <row r="142" spans="1:21" x14ac:dyDescent="0.2">
      <c r="B142" s="118" t="s">
        <v>196</v>
      </c>
      <c r="F142" s="195"/>
      <c r="G142" s="166"/>
      <c r="H142" s="83"/>
      <c r="I142" s="83"/>
      <c r="J142" s="83"/>
      <c r="K142" s="15"/>
      <c r="L142" s="167"/>
      <c r="M142" s="148"/>
      <c r="N142" s="148"/>
      <c r="O142" s="148"/>
      <c r="P142" s="150"/>
      <c r="Q142" s="151"/>
      <c r="R142" s="152"/>
      <c r="S142" s="153"/>
      <c r="T142" s="154"/>
      <c r="U142" s="170"/>
    </row>
    <row r="143" spans="1:21" x14ac:dyDescent="0.2">
      <c r="C143" s="116" t="s">
        <v>2</v>
      </c>
      <c r="F143" s="195">
        <v>8130</v>
      </c>
      <c r="G143" s="166">
        <f>'CAC Inc Stmt'!G143+'AL Inc Stmt'!G143+'ESL Inc Stmt'!G143</f>
        <v>11346.939999999999</v>
      </c>
      <c r="H143" s="85">
        <f>'CAC Inc Stmt'!H143+'AL Inc Stmt'!H143+'ESL Inc Stmt'!H143</f>
        <v>1062.9000000000001</v>
      </c>
      <c r="I143" s="85">
        <f>'CAC Inc Stmt'!I143+'AL Inc Stmt'!I143+'ESL Inc Stmt'!I143</f>
        <v>2284.0500000000002</v>
      </c>
      <c r="J143" s="83">
        <f>'CAC Inc Stmt'!J143+'AL Inc Stmt'!J143+'ESL Inc Stmt'!J143</f>
        <v>4133.37</v>
      </c>
      <c r="K143" s="15">
        <f>'CAC Inc Stmt'!K143+'AL Inc Stmt'!K143+'ESL Inc Stmt'!K143</f>
        <v>5235.16</v>
      </c>
      <c r="L143" s="167">
        <f>'CAC Inc Stmt'!L143+'AL Inc Stmt'!L143+'ESL Inc Stmt'!L143</f>
        <v>1062.9000000000001</v>
      </c>
      <c r="M143" s="148">
        <f>'CAC Inc Stmt'!M143+'AL Inc Stmt'!M143+'ESL Inc Stmt'!M143</f>
        <v>1221.1500000000001</v>
      </c>
      <c r="N143" s="148">
        <f>'CAC Inc Stmt'!N143+'AL Inc Stmt'!N143+'ESL Inc Stmt'!N143</f>
        <v>1849.32</v>
      </c>
      <c r="O143" s="148">
        <f>'CAC Inc Stmt'!O143+'AL Inc Stmt'!O143+'ESL Inc Stmt'!O143</f>
        <v>1101.79</v>
      </c>
      <c r="P143" s="150">
        <f>'CAC Inc Stmt'!P143+'AL Inc Stmt'!P143+'ESL Inc Stmt'!P143</f>
        <v>5235.16</v>
      </c>
      <c r="Q143" s="151">
        <f>'CAC Inc Stmt'!Q143+'AL Inc Stmt'!Q143+'ESL Inc Stmt'!Q143</f>
        <v>14802</v>
      </c>
      <c r="R143" s="152">
        <f>P143-Q143</f>
        <v>-9566.84</v>
      </c>
      <c r="S143" s="173">
        <f>IF(Q143=0,"",P143/Q143)</f>
        <v>0.35367923253614375</v>
      </c>
      <c r="T143" s="154">
        <f>P143-G143</f>
        <v>-6111.7799999999988</v>
      </c>
      <c r="U143" s="170">
        <f>IF(G143=0,"",P143/G143)</f>
        <v>0.46137196460014773</v>
      </c>
    </row>
    <row r="144" spans="1:21" x14ac:dyDescent="0.2">
      <c r="C144" s="116" t="s">
        <v>46</v>
      </c>
      <c r="F144" s="195">
        <v>8221</v>
      </c>
      <c r="G144" s="166">
        <f>'CAC Inc Stmt'!G144+'AL Inc Stmt'!G144+'ESL Inc Stmt'!G144</f>
        <v>6371</v>
      </c>
      <c r="H144" s="83">
        <f>'CAC Inc Stmt'!H144+'AL Inc Stmt'!H144+'ESL Inc Stmt'!H144</f>
        <v>1345</v>
      </c>
      <c r="I144" s="83">
        <f>'CAC Inc Stmt'!I144+'AL Inc Stmt'!I144+'ESL Inc Stmt'!I144</f>
        <v>2642</v>
      </c>
      <c r="J144" s="83">
        <f>'CAC Inc Stmt'!J144+'AL Inc Stmt'!J144+'ESL Inc Stmt'!J144</f>
        <v>4301</v>
      </c>
      <c r="K144" s="15">
        <f>'CAC Inc Stmt'!K144+'AL Inc Stmt'!K144+'ESL Inc Stmt'!K144</f>
        <v>6652</v>
      </c>
      <c r="L144" s="167">
        <f>'CAC Inc Stmt'!L144+'AL Inc Stmt'!L144+'ESL Inc Stmt'!L144</f>
        <v>1345</v>
      </c>
      <c r="M144" s="148">
        <f>'CAC Inc Stmt'!M144+'AL Inc Stmt'!M144+'ESL Inc Stmt'!M144</f>
        <v>1297</v>
      </c>
      <c r="N144" s="148">
        <f>'CAC Inc Stmt'!N144+'AL Inc Stmt'!N144+'ESL Inc Stmt'!N144</f>
        <v>1659</v>
      </c>
      <c r="O144" s="148">
        <f>'CAC Inc Stmt'!O144+'AL Inc Stmt'!O144+'ESL Inc Stmt'!O144</f>
        <v>2351</v>
      </c>
      <c r="P144" s="150">
        <f>'CAC Inc Stmt'!P144+'AL Inc Stmt'!P144+'ESL Inc Stmt'!P144</f>
        <v>6652</v>
      </c>
      <c r="Q144" s="151">
        <f>'CAC Inc Stmt'!Q144+'AL Inc Stmt'!Q144+'ESL Inc Stmt'!Q144</f>
        <v>4166</v>
      </c>
      <c r="R144" s="152">
        <f>P144-Q144</f>
        <v>2486</v>
      </c>
      <c r="S144" s="173">
        <f>IF(Q144=0,"",P144/Q144)</f>
        <v>1.5967354776764282</v>
      </c>
      <c r="T144" s="154">
        <f>P144-G144</f>
        <v>281</v>
      </c>
      <c r="U144" s="170">
        <f>IF(G144=0,"",P144/G144)</f>
        <v>1.0441061057918695</v>
      </c>
    </row>
    <row r="145" spans="2:21" x14ac:dyDescent="0.2">
      <c r="C145" s="116" t="s">
        <v>47</v>
      </c>
      <c r="F145" s="195">
        <v>8223</v>
      </c>
      <c r="G145" s="166">
        <f>'CAC Inc Stmt'!G145+'AL Inc Stmt'!G145+'ESL Inc Stmt'!G145</f>
        <v>4257</v>
      </c>
      <c r="H145" s="83">
        <f>'CAC Inc Stmt'!H145+'AL Inc Stmt'!H145+'ESL Inc Stmt'!H145</f>
        <v>578</v>
      </c>
      <c r="I145" s="83">
        <f>'CAC Inc Stmt'!I145+'AL Inc Stmt'!I145+'ESL Inc Stmt'!I145</f>
        <v>1445</v>
      </c>
      <c r="J145" s="83">
        <f>'CAC Inc Stmt'!J145+'AL Inc Stmt'!J145+'ESL Inc Stmt'!J145</f>
        <v>2372</v>
      </c>
      <c r="K145" s="15">
        <f>'CAC Inc Stmt'!K145+'AL Inc Stmt'!K145+'ESL Inc Stmt'!K145</f>
        <v>3239</v>
      </c>
      <c r="L145" s="167">
        <f>'CAC Inc Stmt'!L145+'AL Inc Stmt'!L145+'ESL Inc Stmt'!L145</f>
        <v>578</v>
      </c>
      <c r="M145" s="148">
        <f>'CAC Inc Stmt'!M145+'AL Inc Stmt'!M145+'ESL Inc Stmt'!M145</f>
        <v>867</v>
      </c>
      <c r="N145" s="148">
        <f>'CAC Inc Stmt'!N145+'AL Inc Stmt'!N145+'ESL Inc Stmt'!N145</f>
        <v>927</v>
      </c>
      <c r="O145" s="148">
        <f>'CAC Inc Stmt'!O145+'AL Inc Stmt'!O145+'ESL Inc Stmt'!O145</f>
        <v>867</v>
      </c>
      <c r="P145" s="150">
        <f>'CAC Inc Stmt'!P145+'AL Inc Stmt'!P145+'ESL Inc Stmt'!P145</f>
        <v>3239</v>
      </c>
      <c r="Q145" s="151">
        <f>'CAC Inc Stmt'!Q145+'AL Inc Stmt'!Q145+'ESL Inc Stmt'!Q145</f>
        <v>0</v>
      </c>
      <c r="R145" s="152">
        <f>P145-Q145</f>
        <v>3239</v>
      </c>
      <c r="S145" s="173" t="str">
        <f>IF(Q145=0,"",P145/Q145)</f>
        <v/>
      </c>
      <c r="T145" s="154">
        <f>P145-G145</f>
        <v>-1018</v>
      </c>
      <c r="U145" s="170">
        <f>IF(G145=0,"",P145/G145)</f>
        <v>0.76086445853887719</v>
      </c>
    </row>
    <row r="146" spans="2:21" x14ac:dyDescent="0.2">
      <c r="C146" s="116" t="s">
        <v>48</v>
      </c>
      <c r="F146" s="195"/>
      <c r="G146" s="166">
        <f>'CAC Inc Stmt'!G146+'AL Inc Stmt'!G146+'ESL Inc Stmt'!G146</f>
        <v>0</v>
      </c>
      <c r="H146" s="83">
        <f>'CAC Inc Stmt'!H146+'AL Inc Stmt'!H146+'ESL Inc Stmt'!H146</f>
        <v>0</v>
      </c>
      <c r="I146" s="83">
        <f>'CAC Inc Stmt'!I146+'AL Inc Stmt'!I146+'ESL Inc Stmt'!I146</f>
        <v>0</v>
      </c>
      <c r="J146" s="83">
        <f>'CAC Inc Stmt'!J146+'AL Inc Stmt'!J146+'ESL Inc Stmt'!J146</f>
        <v>0</v>
      </c>
      <c r="K146" s="15">
        <f>'CAC Inc Stmt'!K146+'AL Inc Stmt'!K146+'ESL Inc Stmt'!K146</f>
        <v>0</v>
      </c>
      <c r="L146" s="167">
        <f>'CAC Inc Stmt'!L146+'AL Inc Stmt'!L146+'ESL Inc Stmt'!L146</f>
        <v>0</v>
      </c>
      <c r="M146" s="148">
        <f>'CAC Inc Stmt'!M146+'AL Inc Stmt'!M146+'ESL Inc Stmt'!M146</f>
        <v>0</v>
      </c>
      <c r="N146" s="148">
        <f>'CAC Inc Stmt'!N146+'AL Inc Stmt'!N146+'ESL Inc Stmt'!N146</f>
        <v>0</v>
      </c>
      <c r="O146" s="148">
        <f>'CAC Inc Stmt'!O146+'AL Inc Stmt'!O146+'ESL Inc Stmt'!O146</f>
        <v>0</v>
      </c>
      <c r="P146" s="150">
        <f>'CAC Inc Stmt'!P146+'AL Inc Stmt'!P146+'ESL Inc Stmt'!P146</f>
        <v>0</v>
      </c>
      <c r="Q146" s="151">
        <f>'CAC Inc Stmt'!Q146+'AL Inc Stmt'!Q146+'ESL Inc Stmt'!Q146</f>
        <v>0</v>
      </c>
      <c r="R146" s="152">
        <f>P146-Q146</f>
        <v>0</v>
      </c>
      <c r="S146" s="173" t="str">
        <f>IF(Q146=0,"",P146/Q146)</f>
        <v/>
      </c>
      <c r="T146" s="154">
        <f>P146-G146</f>
        <v>0</v>
      </c>
      <c r="U146" s="170" t="str">
        <f>IF(G146=0,"",P146/G146)</f>
        <v/>
      </c>
    </row>
    <row r="147" spans="2:21" x14ac:dyDescent="0.2">
      <c r="F147" s="195"/>
      <c r="G147" s="166"/>
      <c r="H147" s="83"/>
      <c r="I147" s="83"/>
      <c r="J147" s="83"/>
      <c r="K147" s="15"/>
      <c r="L147" s="167"/>
      <c r="M147" s="148"/>
      <c r="N147" s="148"/>
      <c r="O147" s="148"/>
      <c r="P147" s="150"/>
      <c r="Q147" s="151"/>
      <c r="R147" s="152">
        <f>P147-Q147</f>
        <v>0</v>
      </c>
      <c r="S147" s="173" t="str">
        <f>IF(Q147=0,"",P147/Q147)</f>
        <v/>
      </c>
      <c r="T147" s="154">
        <f>P147-G147</f>
        <v>0</v>
      </c>
      <c r="U147" s="170" t="str">
        <f>IF(G147=0,"",P147/G147)</f>
        <v/>
      </c>
    </row>
    <row r="148" spans="2:21" x14ac:dyDescent="0.2">
      <c r="F148" s="195"/>
      <c r="G148" s="166"/>
      <c r="H148" s="83"/>
      <c r="I148" s="83"/>
      <c r="J148" s="83"/>
      <c r="K148" s="15"/>
      <c r="L148" s="167"/>
      <c r="M148" s="148"/>
      <c r="N148" s="148"/>
      <c r="O148" s="148"/>
      <c r="P148" s="150"/>
      <c r="Q148" s="151"/>
      <c r="R148" s="152"/>
      <c r="S148" s="153"/>
      <c r="T148" s="154"/>
      <c r="U148" s="170"/>
    </row>
    <row r="149" spans="2:21" x14ac:dyDescent="0.2">
      <c r="C149" s="118" t="s">
        <v>55</v>
      </c>
      <c r="F149" s="195"/>
      <c r="G149" s="157">
        <f>'CAC Inc Stmt'!G149+'AL Inc Stmt'!G149+'ESL Inc Stmt'!G149</f>
        <v>22778.94</v>
      </c>
      <c r="H149" s="84">
        <f>'CAC Inc Stmt'!H149+'AL Inc Stmt'!H149+'ESL Inc Stmt'!H149</f>
        <v>3383.9</v>
      </c>
      <c r="I149" s="84">
        <f>'CAC Inc Stmt'!I149+'AL Inc Stmt'!I149+'ESL Inc Stmt'!I149</f>
        <v>6988.05</v>
      </c>
      <c r="J149" s="84">
        <f>'CAC Inc Stmt'!J149+'AL Inc Stmt'!J149+'ESL Inc Stmt'!J149</f>
        <v>11859.369999999999</v>
      </c>
      <c r="K149" s="241">
        <f>'CAC Inc Stmt'!K149+'AL Inc Stmt'!K149+'ESL Inc Stmt'!K149</f>
        <v>16425.16</v>
      </c>
      <c r="L149" s="159">
        <f>'CAC Inc Stmt'!L149+'AL Inc Stmt'!L149+'ESL Inc Stmt'!L149</f>
        <v>3383.9</v>
      </c>
      <c r="M149" s="158">
        <f>'CAC Inc Stmt'!M149+'AL Inc Stmt'!M149+'ESL Inc Stmt'!M149</f>
        <v>3604.15</v>
      </c>
      <c r="N149" s="158">
        <f>'CAC Inc Stmt'!N149+'AL Inc Stmt'!N149+'ESL Inc Stmt'!N149</f>
        <v>4871.32</v>
      </c>
      <c r="O149" s="158">
        <f>'CAC Inc Stmt'!O149+'AL Inc Stmt'!O149+'ESL Inc Stmt'!O149</f>
        <v>4565.79</v>
      </c>
      <c r="P149" s="160">
        <f>'CAC Inc Stmt'!P149+'AL Inc Stmt'!P149+'ESL Inc Stmt'!P149</f>
        <v>16425.16</v>
      </c>
      <c r="Q149" s="161">
        <f>'CAC Inc Stmt'!Q149+'AL Inc Stmt'!Q149+'ESL Inc Stmt'!Q149</f>
        <v>19772</v>
      </c>
      <c r="R149" s="162">
        <f>SUM(R143:R148)</f>
        <v>-3841.84</v>
      </c>
      <c r="S149" s="171">
        <f>IF(Q149=0,"",P149/Q149)</f>
        <v>0.83072830265021247</v>
      </c>
      <c r="T149" s="164">
        <f>SUM(T143:T148)</f>
        <v>-6848.7799999999988</v>
      </c>
      <c r="U149" s="205">
        <f>IF(G149=0,"",P149/G149)</f>
        <v>0.72106779332137494</v>
      </c>
    </row>
    <row r="150" spans="2:21" x14ac:dyDescent="0.2">
      <c r="F150" s="195"/>
      <c r="G150" s="166"/>
      <c r="H150" s="83"/>
      <c r="I150" s="83"/>
      <c r="J150" s="83"/>
      <c r="K150" s="15"/>
      <c r="L150" s="167"/>
      <c r="M150" s="148"/>
      <c r="N150" s="148"/>
      <c r="O150" s="148"/>
      <c r="P150" s="150"/>
      <c r="Q150" s="151"/>
      <c r="R150" s="152"/>
      <c r="S150" s="153"/>
      <c r="T150" s="154"/>
      <c r="U150" s="170"/>
    </row>
    <row r="151" spans="2:21" x14ac:dyDescent="0.2">
      <c r="B151" s="118" t="s">
        <v>49</v>
      </c>
      <c r="F151" s="195"/>
      <c r="G151" s="166"/>
      <c r="H151" s="83"/>
      <c r="I151" s="83"/>
      <c r="J151" s="83"/>
      <c r="K151" s="15"/>
      <c r="L151" s="167"/>
      <c r="M151" s="148"/>
      <c r="N151" s="148"/>
      <c r="O151" s="148"/>
      <c r="P151" s="150"/>
      <c r="Q151" s="151"/>
      <c r="R151" s="152"/>
      <c r="S151" s="153"/>
      <c r="T151" s="154"/>
      <c r="U151" s="170"/>
    </row>
    <row r="152" spans="2:21" x14ac:dyDescent="0.2">
      <c r="C152" s="116" t="s">
        <v>50</v>
      </c>
      <c r="F152" s="195" t="s">
        <v>203</v>
      </c>
      <c r="G152" s="166">
        <f>'CAC Inc Stmt'!G152+'AL Inc Stmt'!G152+'ESL Inc Stmt'!G152</f>
        <v>1579</v>
      </c>
      <c r="H152" s="83">
        <f>'CAC Inc Stmt'!H152+'AL Inc Stmt'!H152+'ESL Inc Stmt'!H152</f>
        <v>1149</v>
      </c>
      <c r="I152" s="83">
        <f>'CAC Inc Stmt'!I152+'AL Inc Stmt'!I152+'ESL Inc Stmt'!I152</f>
        <v>2019</v>
      </c>
      <c r="J152" s="83">
        <f>'CAC Inc Stmt'!J152+'AL Inc Stmt'!J152+'ESL Inc Stmt'!J152</f>
        <v>2496</v>
      </c>
      <c r="K152" s="15">
        <f>'CAC Inc Stmt'!K152+'AL Inc Stmt'!K152+'ESL Inc Stmt'!K152</f>
        <v>3789</v>
      </c>
      <c r="L152" s="167">
        <f>'CAC Inc Stmt'!L152+'AL Inc Stmt'!L152+'ESL Inc Stmt'!L152</f>
        <v>1149</v>
      </c>
      <c r="M152" s="148">
        <f>'CAC Inc Stmt'!M152+'AL Inc Stmt'!M152+'ESL Inc Stmt'!M152</f>
        <v>870</v>
      </c>
      <c r="N152" s="148">
        <f>'CAC Inc Stmt'!N152+'AL Inc Stmt'!N152+'ESL Inc Stmt'!N152</f>
        <v>477</v>
      </c>
      <c r="O152" s="148">
        <f>'CAC Inc Stmt'!O152+'AL Inc Stmt'!O152+'ESL Inc Stmt'!O152</f>
        <v>1293</v>
      </c>
      <c r="P152" s="150">
        <f>'CAC Inc Stmt'!P152+'AL Inc Stmt'!P152+'ESL Inc Stmt'!P152</f>
        <v>3789</v>
      </c>
      <c r="Q152" s="151">
        <f>'CAC Inc Stmt'!Q152+'AL Inc Stmt'!Q152+'ESL Inc Stmt'!Q152</f>
        <v>5000</v>
      </c>
      <c r="R152" s="152">
        <f t="shared" ref="R152:R157" si="24">P152-Q152</f>
        <v>-1211</v>
      </c>
      <c r="S152" s="173">
        <f>IF(Q152=0,"",P152/Q152)</f>
        <v>0.75780000000000003</v>
      </c>
      <c r="T152" s="154">
        <f t="shared" ref="T152:T157" si="25">P152-G152</f>
        <v>2210</v>
      </c>
      <c r="U152" s="170">
        <f>IF(G152=0,"",P152/G152)</f>
        <v>2.3996200126662446</v>
      </c>
    </row>
    <row r="153" spans="2:21" x14ac:dyDescent="0.2">
      <c r="C153" s="116" t="s">
        <v>51</v>
      </c>
      <c r="F153" s="195" t="s">
        <v>204</v>
      </c>
      <c r="G153" s="166">
        <f>'CAC Inc Stmt'!G153+'AL Inc Stmt'!G153+'ESL Inc Stmt'!G153</f>
        <v>2378</v>
      </c>
      <c r="H153" s="83">
        <f>'CAC Inc Stmt'!H153+'AL Inc Stmt'!H153+'ESL Inc Stmt'!H153</f>
        <v>900</v>
      </c>
      <c r="I153" s="83">
        <f>'CAC Inc Stmt'!I153+'AL Inc Stmt'!I153+'ESL Inc Stmt'!I153</f>
        <v>1762</v>
      </c>
      <c r="J153" s="83">
        <f>'CAC Inc Stmt'!J153+'AL Inc Stmt'!J153+'ESL Inc Stmt'!J153</f>
        <v>2130</v>
      </c>
      <c r="K153" s="15">
        <f>'CAC Inc Stmt'!K153+'AL Inc Stmt'!K153+'ESL Inc Stmt'!K153</f>
        <v>2939</v>
      </c>
      <c r="L153" s="167">
        <f>'CAC Inc Stmt'!L153+'AL Inc Stmt'!L153+'ESL Inc Stmt'!L153</f>
        <v>900</v>
      </c>
      <c r="M153" s="148">
        <f>'CAC Inc Stmt'!M153+'AL Inc Stmt'!M153+'ESL Inc Stmt'!M153</f>
        <v>862</v>
      </c>
      <c r="N153" s="148">
        <f>'CAC Inc Stmt'!N153+'AL Inc Stmt'!N153+'ESL Inc Stmt'!N153</f>
        <v>368</v>
      </c>
      <c r="O153" s="148">
        <f>'CAC Inc Stmt'!O153+'AL Inc Stmt'!O153+'ESL Inc Stmt'!O153</f>
        <v>809</v>
      </c>
      <c r="P153" s="150">
        <f>'CAC Inc Stmt'!P153+'AL Inc Stmt'!P153+'ESL Inc Stmt'!P153</f>
        <v>2939</v>
      </c>
      <c r="Q153" s="151">
        <f>'CAC Inc Stmt'!Q153+'AL Inc Stmt'!Q153+'ESL Inc Stmt'!Q153</f>
        <v>798</v>
      </c>
      <c r="R153" s="152">
        <f t="shared" si="24"/>
        <v>2141</v>
      </c>
      <c r="S153" s="173">
        <f>IF(Q153=0,"",P153/Q153)</f>
        <v>3.6829573934837092</v>
      </c>
      <c r="T153" s="154">
        <f t="shared" si="25"/>
        <v>561</v>
      </c>
      <c r="U153" s="170">
        <f>IF(G153=0,"",P153/G153)</f>
        <v>1.2359125315391084</v>
      </c>
    </row>
    <row r="154" spans="2:21" x14ac:dyDescent="0.2">
      <c r="C154" s="116" t="s">
        <v>52</v>
      </c>
      <c r="F154" s="195" t="s">
        <v>205</v>
      </c>
      <c r="G154" s="166">
        <f>'CAC Inc Stmt'!G154+'AL Inc Stmt'!G154+'ESL Inc Stmt'!G154</f>
        <v>2005.71</v>
      </c>
      <c r="H154" s="83">
        <f>'CAC Inc Stmt'!H154+'AL Inc Stmt'!H154+'ESL Inc Stmt'!H154</f>
        <v>0</v>
      </c>
      <c r="I154" s="83">
        <f>'CAC Inc Stmt'!I154+'AL Inc Stmt'!I154+'ESL Inc Stmt'!I154</f>
        <v>430</v>
      </c>
      <c r="J154" s="83">
        <f>'CAC Inc Stmt'!J154+'AL Inc Stmt'!J154+'ESL Inc Stmt'!J154</f>
        <v>908</v>
      </c>
      <c r="K154" s="15">
        <f>'CAC Inc Stmt'!K154+'AL Inc Stmt'!K154+'ESL Inc Stmt'!K154</f>
        <v>1102</v>
      </c>
      <c r="L154" s="167">
        <f>'CAC Inc Stmt'!L154+'AL Inc Stmt'!L154+'ESL Inc Stmt'!L154</f>
        <v>0</v>
      </c>
      <c r="M154" s="148">
        <f>'CAC Inc Stmt'!M154+'AL Inc Stmt'!M154+'ESL Inc Stmt'!M154</f>
        <v>430</v>
      </c>
      <c r="N154" s="148">
        <f>'CAC Inc Stmt'!N154+'AL Inc Stmt'!N154+'ESL Inc Stmt'!N154</f>
        <v>478</v>
      </c>
      <c r="O154" s="148">
        <f>'CAC Inc Stmt'!O154+'AL Inc Stmt'!O154+'ESL Inc Stmt'!O154</f>
        <v>194</v>
      </c>
      <c r="P154" s="150">
        <f>'CAC Inc Stmt'!P154+'AL Inc Stmt'!P154+'ESL Inc Stmt'!P154</f>
        <v>1102</v>
      </c>
      <c r="Q154" s="151">
        <f>'CAC Inc Stmt'!Q154+'AL Inc Stmt'!Q154+'ESL Inc Stmt'!Q154</f>
        <v>760</v>
      </c>
      <c r="R154" s="152">
        <f t="shared" si="24"/>
        <v>342</v>
      </c>
      <c r="S154" s="173">
        <f>IF(Q154=0,"",P154/Q154)</f>
        <v>1.45</v>
      </c>
      <c r="T154" s="154">
        <f t="shared" si="25"/>
        <v>-903.71</v>
      </c>
      <c r="U154" s="170">
        <f>IF(G154=0,"",P154/G154)</f>
        <v>0.54943137342886061</v>
      </c>
    </row>
    <row r="155" spans="2:21" x14ac:dyDescent="0.2">
      <c r="C155" s="116" t="s">
        <v>53</v>
      </c>
      <c r="F155" s="195" t="s">
        <v>206</v>
      </c>
      <c r="G155" s="166">
        <f>'CAC Inc Stmt'!G155+'AL Inc Stmt'!G155+'ESL Inc Stmt'!G155</f>
        <v>0</v>
      </c>
      <c r="H155" s="83">
        <f>'CAC Inc Stmt'!H155+'AL Inc Stmt'!H155+'ESL Inc Stmt'!H155</f>
        <v>0</v>
      </c>
      <c r="I155" s="83">
        <f>'CAC Inc Stmt'!I155+'AL Inc Stmt'!I155+'ESL Inc Stmt'!I155</f>
        <v>0</v>
      </c>
      <c r="J155" s="83">
        <f>'CAC Inc Stmt'!J155+'AL Inc Stmt'!J155+'ESL Inc Stmt'!J155</f>
        <v>0</v>
      </c>
      <c r="K155" s="15">
        <f>'CAC Inc Stmt'!K155+'AL Inc Stmt'!K155+'ESL Inc Stmt'!K155</f>
        <v>0</v>
      </c>
      <c r="L155" s="167">
        <f>'CAC Inc Stmt'!L155+'AL Inc Stmt'!L155+'ESL Inc Stmt'!L155</f>
        <v>0</v>
      </c>
      <c r="M155" s="148">
        <f>'CAC Inc Stmt'!M155+'AL Inc Stmt'!M155+'ESL Inc Stmt'!M155</f>
        <v>0</v>
      </c>
      <c r="N155" s="148">
        <f>'CAC Inc Stmt'!N155+'AL Inc Stmt'!N155+'ESL Inc Stmt'!N155</f>
        <v>0</v>
      </c>
      <c r="O155" s="148">
        <f>'CAC Inc Stmt'!O155+'AL Inc Stmt'!O155+'ESL Inc Stmt'!O155</f>
        <v>0</v>
      </c>
      <c r="P155" s="150">
        <f>'CAC Inc Stmt'!P155+'AL Inc Stmt'!P155+'ESL Inc Stmt'!P155</f>
        <v>0</v>
      </c>
      <c r="Q155" s="151">
        <f>'CAC Inc Stmt'!Q155+'AL Inc Stmt'!Q155+'ESL Inc Stmt'!Q155</f>
        <v>941</v>
      </c>
      <c r="R155" s="152">
        <f t="shared" si="24"/>
        <v>-941</v>
      </c>
      <c r="S155" s="173">
        <f>IF(Q155=0,"",P155/Q155)</f>
        <v>0</v>
      </c>
      <c r="T155" s="154">
        <f t="shared" si="25"/>
        <v>0</v>
      </c>
      <c r="U155" s="170" t="str">
        <f>IF(G155=0,"",P155/G155)</f>
        <v/>
      </c>
    </row>
    <row r="156" spans="2:21" x14ac:dyDescent="0.2">
      <c r="C156" s="116" t="s">
        <v>211</v>
      </c>
      <c r="F156" s="195"/>
      <c r="G156" s="166">
        <f>'CAC Inc Stmt'!G156+'AL Inc Stmt'!G156+'ESL Inc Stmt'!G156</f>
        <v>2013</v>
      </c>
      <c r="H156" s="83">
        <f>'CAC Inc Stmt'!H156+'AL Inc Stmt'!H156+'ESL Inc Stmt'!H156</f>
        <v>225</v>
      </c>
      <c r="I156" s="83">
        <f>'CAC Inc Stmt'!I156+'AL Inc Stmt'!I156+'ESL Inc Stmt'!I156</f>
        <v>360</v>
      </c>
      <c r="J156" s="83">
        <f>'CAC Inc Stmt'!J156+'AL Inc Stmt'!J156+'ESL Inc Stmt'!J156</f>
        <v>783</v>
      </c>
      <c r="K156" s="15">
        <f>'CAC Inc Stmt'!K156+'AL Inc Stmt'!K156+'ESL Inc Stmt'!K156</f>
        <v>1112</v>
      </c>
      <c r="L156" s="167">
        <f>'CAC Inc Stmt'!L156+'AL Inc Stmt'!L156+'ESL Inc Stmt'!L156</f>
        <v>225</v>
      </c>
      <c r="M156" s="148">
        <f>'CAC Inc Stmt'!M156+'AL Inc Stmt'!M156+'ESL Inc Stmt'!M156</f>
        <v>135</v>
      </c>
      <c r="N156" s="148">
        <f>'CAC Inc Stmt'!N156+'AL Inc Stmt'!N156+'ESL Inc Stmt'!N156</f>
        <v>423</v>
      </c>
      <c r="O156" s="148">
        <f>'CAC Inc Stmt'!O156+'AL Inc Stmt'!O156+'ESL Inc Stmt'!O156</f>
        <v>329</v>
      </c>
      <c r="P156" s="150">
        <f>'CAC Inc Stmt'!P156+'AL Inc Stmt'!P156+'ESL Inc Stmt'!P156</f>
        <v>1112</v>
      </c>
      <c r="Q156" s="151">
        <f>'CAC Inc Stmt'!Q156+'AL Inc Stmt'!Q156+'ESL Inc Stmt'!Q156</f>
        <v>362</v>
      </c>
      <c r="R156" s="152">
        <f t="shared" si="24"/>
        <v>750</v>
      </c>
      <c r="S156" s="173">
        <f>IF(Q156=0,"",P156/Q156)</f>
        <v>3.0718232044198897</v>
      </c>
      <c r="T156" s="154">
        <f t="shared" si="25"/>
        <v>-901</v>
      </c>
      <c r="U156" s="170">
        <f>IF(G156=0,"",P156/G156)</f>
        <v>0.55240933929458524</v>
      </c>
    </row>
    <row r="157" spans="2:21" x14ac:dyDescent="0.2">
      <c r="C157" s="116" t="s">
        <v>417</v>
      </c>
      <c r="F157" s="195"/>
      <c r="G157" s="166">
        <f>'CAC Inc Stmt'!G157+'AL Inc Stmt'!G157+'ESL Inc Stmt'!G157</f>
        <v>0</v>
      </c>
      <c r="H157" s="83">
        <f>'CAC Inc Stmt'!H157+'AL Inc Stmt'!H157+'ESL Inc Stmt'!H157</f>
        <v>360</v>
      </c>
      <c r="I157" s="83">
        <f>'CAC Inc Stmt'!I157+'AL Inc Stmt'!I157+'ESL Inc Stmt'!I157</f>
        <v>360</v>
      </c>
      <c r="J157" s="83">
        <f>'CAC Inc Stmt'!J157+'AL Inc Stmt'!J157+'ESL Inc Stmt'!J157</f>
        <v>360</v>
      </c>
      <c r="K157" s="15">
        <f>'CAC Inc Stmt'!K157+'AL Inc Stmt'!K157+'ESL Inc Stmt'!K157</f>
        <v>360</v>
      </c>
      <c r="L157" s="167">
        <f>'CAC Inc Stmt'!L157+'AL Inc Stmt'!L157+'ESL Inc Stmt'!L157</f>
        <v>360</v>
      </c>
      <c r="M157" s="148">
        <f>'CAC Inc Stmt'!M157+'AL Inc Stmt'!M157+'ESL Inc Stmt'!M157</f>
        <v>0</v>
      </c>
      <c r="N157" s="148">
        <f>'CAC Inc Stmt'!N157+'AL Inc Stmt'!N157+'ESL Inc Stmt'!N157</f>
        <v>0</v>
      </c>
      <c r="O157" s="148">
        <f>'CAC Inc Stmt'!O157+'AL Inc Stmt'!O157+'ESL Inc Stmt'!O157</f>
        <v>0</v>
      </c>
      <c r="P157" s="150">
        <f>'CAC Inc Stmt'!P157+'AL Inc Stmt'!P157+'ESL Inc Stmt'!P157</f>
        <v>360</v>
      </c>
      <c r="Q157" s="151">
        <f>'CAC Inc Stmt'!Q157+'AL Inc Stmt'!Q157+'ESL Inc Stmt'!Q157</f>
        <v>0</v>
      </c>
      <c r="R157" s="152">
        <f t="shared" si="24"/>
        <v>360</v>
      </c>
      <c r="S157" s="153"/>
      <c r="T157" s="154">
        <f t="shared" si="25"/>
        <v>360</v>
      </c>
      <c r="U157" s="170"/>
    </row>
    <row r="158" spans="2:21" x14ac:dyDescent="0.2">
      <c r="C158" s="118" t="s">
        <v>54</v>
      </c>
      <c r="F158" s="195"/>
      <c r="G158" s="157">
        <f>'CAC Inc Stmt'!G158+'AL Inc Stmt'!G158+'ESL Inc Stmt'!G158</f>
        <v>7975.71</v>
      </c>
      <c r="H158" s="84">
        <f>'CAC Inc Stmt'!H158+'AL Inc Stmt'!H158+'ESL Inc Stmt'!H158</f>
        <v>2634</v>
      </c>
      <c r="I158" s="84">
        <f>'CAC Inc Stmt'!I158+'AL Inc Stmt'!I158+'ESL Inc Stmt'!I158</f>
        <v>4931</v>
      </c>
      <c r="J158" s="84">
        <f>'CAC Inc Stmt'!J158+'AL Inc Stmt'!J158+'ESL Inc Stmt'!J158</f>
        <v>6677</v>
      </c>
      <c r="K158" s="241">
        <f>'CAC Inc Stmt'!K158+'AL Inc Stmt'!K158+'ESL Inc Stmt'!K158</f>
        <v>9302</v>
      </c>
      <c r="L158" s="159">
        <f>'CAC Inc Stmt'!L158+'AL Inc Stmt'!L158+'ESL Inc Stmt'!L158</f>
        <v>2634</v>
      </c>
      <c r="M158" s="158">
        <f>'CAC Inc Stmt'!M158+'AL Inc Stmt'!M158+'ESL Inc Stmt'!M158</f>
        <v>2297</v>
      </c>
      <c r="N158" s="158">
        <f>'CAC Inc Stmt'!N158+'AL Inc Stmt'!N158+'ESL Inc Stmt'!N158</f>
        <v>1746</v>
      </c>
      <c r="O158" s="158">
        <f>'CAC Inc Stmt'!O158+'AL Inc Stmt'!O158+'ESL Inc Stmt'!O158</f>
        <v>2625</v>
      </c>
      <c r="P158" s="160">
        <f>'CAC Inc Stmt'!P158+'AL Inc Stmt'!P158+'ESL Inc Stmt'!P158</f>
        <v>9302</v>
      </c>
      <c r="Q158" s="161">
        <f>'CAC Inc Stmt'!Q158+'AL Inc Stmt'!Q158+'ESL Inc Stmt'!Q158</f>
        <v>7861</v>
      </c>
      <c r="R158" s="162">
        <f>SUM(R152:R157)</f>
        <v>1441</v>
      </c>
      <c r="S158" s="171">
        <f>IF(Q158=0,"",P158/Q158)</f>
        <v>1.183310011448925</v>
      </c>
      <c r="T158" s="164">
        <f>SUM(T152:T157)</f>
        <v>1326.29</v>
      </c>
      <c r="U158" s="205">
        <f>IF(G158=0,"",P158/G158)</f>
        <v>1.1662911515087684</v>
      </c>
    </row>
    <row r="159" spans="2:21" x14ac:dyDescent="0.2">
      <c r="F159" s="195"/>
      <c r="G159" s="166"/>
      <c r="H159" s="83"/>
      <c r="I159" s="83"/>
      <c r="J159" s="83"/>
      <c r="K159" s="15"/>
      <c r="L159" s="167"/>
      <c r="M159" s="148"/>
      <c r="N159" s="148"/>
      <c r="O159" s="148"/>
      <c r="P159" s="150"/>
      <c r="Q159" s="151"/>
      <c r="R159" s="152"/>
      <c r="S159" s="153"/>
      <c r="T159" s="154"/>
      <c r="U159" s="170"/>
    </row>
    <row r="160" spans="2:21" x14ac:dyDescent="0.2">
      <c r="B160" s="118" t="s">
        <v>183</v>
      </c>
      <c r="F160" s="195"/>
      <c r="G160" s="166"/>
      <c r="H160" s="83"/>
      <c r="I160" s="83"/>
      <c r="J160" s="83"/>
      <c r="K160" s="15"/>
      <c r="L160" s="167"/>
      <c r="M160" s="148"/>
      <c r="N160" s="148"/>
      <c r="O160" s="148"/>
      <c r="P160" s="150"/>
      <c r="Q160" s="151"/>
      <c r="R160" s="152"/>
      <c r="S160" s="153"/>
      <c r="T160" s="154"/>
      <c r="U160" s="170"/>
    </row>
    <row r="161" spans="1:21" x14ac:dyDescent="0.2">
      <c r="C161" s="116" t="s">
        <v>95</v>
      </c>
      <c r="F161" s="195" t="s">
        <v>200</v>
      </c>
      <c r="G161" s="166">
        <f>'CAC Inc Stmt'!G161+'AL Inc Stmt'!G161+'ESL Inc Stmt'!G161</f>
        <v>3</v>
      </c>
      <c r="H161" s="83">
        <f>'CAC Inc Stmt'!H161+'AL Inc Stmt'!H161+'ESL Inc Stmt'!H161</f>
        <v>126</v>
      </c>
      <c r="I161" s="83">
        <f>'CAC Inc Stmt'!I161+'AL Inc Stmt'!I161+'ESL Inc Stmt'!I161</f>
        <v>177</v>
      </c>
      <c r="J161" s="83">
        <f>'CAC Inc Stmt'!J161+'AL Inc Stmt'!J161+'ESL Inc Stmt'!J161</f>
        <v>224</v>
      </c>
      <c r="K161" s="15">
        <f>'CAC Inc Stmt'!K161+'AL Inc Stmt'!K161+'ESL Inc Stmt'!K161</f>
        <v>263</v>
      </c>
      <c r="L161" s="167">
        <f>'CAC Inc Stmt'!L161+'AL Inc Stmt'!L161+'ESL Inc Stmt'!L161</f>
        <v>126</v>
      </c>
      <c r="M161" s="148">
        <f>'CAC Inc Stmt'!M161+'AL Inc Stmt'!M161+'ESL Inc Stmt'!M161</f>
        <v>51</v>
      </c>
      <c r="N161" s="148">
        <f>'CAC Inc Stmt'!N161+'AL Inc Stmt'!N161+'ESL Inc Stmt'!N161</f>
        <v>47</v>
      </c>
      <c r="O161" s="148">
        <f>'CAC Inc Stmt'!O161+'AL Inc Stmt'!O161+'ESL Inc Stmt'!O161</f>
        <v>39</v>
      </c>
      <c r="P161" s="150">
        <f>'CAC Inc Stmt'!P161+'AL Inc Stmt'!P161+'ESL Inc Stmt'!P161</f>
        <v>263</v>
      </c>
      <c r="Q161" s="151">
        <f>'CAC Inc Stmt'!Q161+'AL Inc Stmt'!Q161+'ESL Inc Stmt'!Q161</f>
        <v>703</v>
      </c>
      <c r="R161" s="152">
        <f>P161-Q161</f>
        <v>-440</v>
      </c>
      <c r="S161" s="173">
        <f>IF(Q161=0,"",P161/Q161)</f>
        <v>0.37411095305832148</v>
      </c>
      <c r="T161" s="154">
        <f>P161-G161</f>
        <v>260</v>
      </c>
      <c r="U161" s="170">
        <f>IF(G161=0,"",P161/G161)</f>
        <v>87.666666666666671</v>
      </c>
    </row>
    <row r="162" spans="1:21" x14ac:dyDescent="0.2">
      <c r="C162" s="116" t="s">
        <v>185</v>
      </c>
      <c r="F162" s="195" t="s">
        <v>201</v>
      </c>
      <c r="G162" s="166">
        <f>'CAC Inc Stmt'!G162+'AL Inc Stmt'!G162+'ESL Inc Stmt'!G162</f>
        <v>922.78</v>
      </c>
      <c r="H162" s="83">
        <f>'CAC Inc Stmt'!H162+'AL Inc Stmt'!H162+'ESL Inc Stmt'!H162</f>
        <v>144.55000000000001</v>
      </c>
      <c r="I162" s="83">
        <f>'CAC Inc Stmt'!I162+'AL Inc Stmt'!I162+'ESL Inc Stmt'!I162</f>
        <v>461</v>
      </c>
      <c r="J162" s="83">
        <f>'CAC Inc Stmt'!J162+'AL Inc Stmt'!J162+'ESL Inc Stmt'!J162</f>
        <v>573</v>
      </c>
      <c r="K162" s="15">
        <f>'CAC Inc Stmt'!K162+'AL Inc Stmt'!K162+'ESL Inc Stmt'!K162</f>
        <v>1146.25</v>
      </c>
      <c r="L162" s="167">
        <f>'CAC Inc Stmt'!L162+'AL Inc Stmt'!L162+'ESL Inc Stmt'!L162</f>
        <v>144.55000000000001</v>
      </c>
      <c r="M162" s="148">
        <f>'CAC Inc Stmt'!M162+'AL Inc Stmt'!M162+'ESL Inc Stmt'!M162</f>
        <v>316.45</v>
      </c>
      <c r="N162" s="148">
        <f>'CAC Inc Stmt'!N162+'AL Inc Stmt'!N162+'ESL Inc Stmt'!N162</f>
        <v>112</v>
      </c>
      <c r="O162" s="148">
        <f>'CAC Inc Stmt'!O162+'AL Inc Stmt'!O162+'ESL Inc Stmt'!O162</f>
        <v>573.25</v>
      </c>
      <c r="P162" s="150">
        <f>'CAC Inc Stmt'!P162+'AL Inc Stmt'!P162+'ESL Inc Stmt'!P162</f>
        <v>1146.25</v>
      </c>
      <c r="Q162" s="151">
        <f>'CAC Inc Stmt'!Q162+'AL Inc Stmt'!Q162+'ESL Inc Stmt'!Q162</f>
        <v>714</v>
      </c>
      <c r="R162" s="152">
        <f>P162-Q162</f>
        <v>432.25</v>
      </c>
      <c r="S162" s="173">
        <f>IF(Q162=0,"",P162/Q162)</f>
        <v>1.6053921568627452</v>
      </c>
      <c r="T162" s="154">
        <f>P162-G162</f>
        <v>223.47000000000003</v>
      </c>
      <c r="U162" s="170">
        <f>IF(G162=0,"",P162/G162)</f>
        <v>1.2421703981447365</v>
      </c>
    </row>
    <row r="163" spans="1:21" x14ac:dyDescent="0.2">
      <c r="C163" s="116" t="s">
        <v>184</v>
      </c>
      <c r="F163" s="195" t="s">
        <v>202</v>
      </c>
      <c r="G163" s="166">
        <f>'CAC Inc Stmt'!G163+'AL Inc Stmt'!G163+'ESL Inc Stmt'!G163</f>
        <v>159</v>
      </c>
      <c r="H163" s="83">
        <f>'CAC Inc Stmt'!H163+'AL Inc Stmt'!H163+'ESL Inc Stmt'!H163</f>
        <v>0</v>
      </c>
      <c r="I163" s="83">
        <f>'CAC Inc Stmt'!I163+'AL Inc Stmt'!I163+'ESL Inc Stmt'!I163</f>
        <v>0</v>
      </c>
      <c r="J163" s="83">
        <f>'CAC Inc Stmt'!J163+'AL Inc Stmt'!J163+'ESL Inc Stmt'!J163</f>
        <v>52</v>
      </c>
      <c r="K163" s="15">
        <f>'CAC Inc Stmt'!K163+'AL Inc Stmt'!K163+'ESL Inc Stmt'!K163</f>
        <v>275</v>
      </c>
      <c r="L163" s="167">
        <f>'CAC Inc Stmt'!L163+'AL Inc Stmt'!L163+'ESL Inc Stmt'!L163</f>
        <v>0</v>
      </c>
      <c r="M163" s="148">
        <f>'CAC Inc Stmt'!M163+'AL Inc Stmt'!M163+'ESL Inc Stmt'!M163</f>
        <v>0</v>
      </c>
      <c r="N163" s="148">
        <f>'CAC Inc Stmt'!N163+'AL Inc Stmt'!N163+'ESL Inc Stmt'!N163</f>
        <v>52</v>
      </c>
      <c r="O163" s="148">
        <f>'CAC Inc Stmt'!O163+'AL Inc Stmt'!O163+'ESL Inc Stmt'!O163</f>
        <v>223</v>
      </c>
      <c r="P163" s="150">
        <f>'CAC Inc Stmt'!P163+'AL Inc Stmt'!P163+'ESL Inc Stmt'!P163</f>
        <v>275</v>
      </c>
      <c r="Q163" s="151">
        <f>'CAC Inc Stmt'!Q163+'AL Inc Stmt'!Q163+'ESL Inc Stmt'!Q163</f>
        <v>133</v>
      </c>
      <c r="R163" s="152">
        <f>P163-Q163</f>
        <v>142</v>
      </c>
      <c r="S163" s="173">
        <f>IF(Q163=0,"",P163/Q163)</f>
        <v>2.0676691729323307</v>
      </c>
      <c r="T163" s="154">
        <f>P163-G163</f>
        <v>116</v>
      </c>
      <c r="U163" s="170">
        <f>IF(G163=0,"",P163/G163)</f>
        <v>1.729559748427673</v>
      </c>
    </row>
    <row r="164" spans="1:21" x14ac:dyDescent="0.2">
      <c r="C164" s="116" t="s">
        <v>186</v>
      </c>
      <c r="F164" s="195"/>
      <c r="G164" s="166">
        <f>'CAC Inc Stmt'!G164+'AL Inc Stmt'!G164+'ESL Inc Stmt'!G164</f>
        <v>0</v>
      </c>
      <c r="H164" s="83">
        <f>'CAC Inc Stmt'!H164+'AL Inc Stmt'!H164+'ESL Inc Stmt'!H164</f>
        <v>0</v>
      </c>
      <c r="I164" s="83">
        <f>'CAC Inc Stmt'!I164+'AL Inc Stmt'!I164+'ESL Inc Stmt'!I164</f>
        <v>280</v>
      </c>
      <c r="J164" s="83">
        <f>'CAC Inc Stmt'!J164+'AL Inc Stmt'!J164+'ESL Inc Stmt'!J164</f>
        <v>280</v>
      </c>
      <c r="K164" s="15">
        <f>'CAC Inc Stmt'!K164+'AL Inc Stmt'!K164+'ESL Inc Stmt'!K164</f>
        <v>280</v>
      </c>
      <c r="L164" s="167">
        <f>'CAC Inc Stmt'!L164+'AL Inc Stmt'!L164+'ESL Inc Stmt'!L164</f>
        <v>0</v>
      </c>
      <c r="M164" s="148">
        <f>'CAC Inc Stmt'!M164+'AL Inc Stmt'!M164+'ESL Inc Stmt'!M164</f>
        <v>280</v>
      </c>
      <c r="N164" s="148">
        <f>'CAC Inc Stmt'!N164+'AL Inc Stmt'!N164+'ESL Inc Stmt'!N164</f>
        <v>0</v>
      </c>
      <c r="O164" s="148">
        <f>'CAC Inc Stmt'!O164+'AL Inc Stmt'!O164+'ESL Inc Stmt'!O164</f>
        <v>0</v>
      </c>
      <c r="P164" s="150">
        <f>'CAC Inc Stmt'!P164+'AL Inc Stmt'!P164+'ESL Inc Stmt'!P164</f>
        <v>280</v>
      </c>
      <c r="Q164" s="151">
        <f>'CAC Inc Stmt'!Q164+'AL Inc Stmt'!Q164+'ESL Inc Stmt'!Q164</f>
        <v>250</v>
      </c>
      <c r="R164" s="152">
        <f>P164-Q164</f>
        <v>30</v>
      </c>
      <c r="S164" s="173">
        <f>IF(Q164=0,"",P164/Q164)</f>
        <v>1.1200000000000001</v>
      </c>
      <c r="T164" s="154">
        <f>P164-G164</f>
        <v>280</v>
      </c>
      <c r="U164" s="170" t="str">
        <f>IF(G164=0,"",P164/G164)</f>
        <v/>
      </c>
    </row>
    <row r="165" spans="1:21" x14ac:dyDescent="0.2">
      <c r="C165" s="116" t="s">
        <v>211</v>
      </c>
      <c r="F165" s="195"/>
      <c r="G165" s="166">
        <f>'CAC Inc Stmt'!G165+'AL Inc Stmt'!G165+'ESL Inc Stmt'!G165</f>
        <v>449</v>
      </c>
      <c r="H165" s="83">
        <f>'CAC Inc Stmt'!H165+'AL Inc Stmt'!H165+'ESL Inc Stmt'!H165</f>
        <v>0</v>
      </c>
      <c r="I165" s="83">
        <f>'CAC Inc Stmt'!I165+'AL Inc Stmt'!I165+'ESL Inc Stmt'!I165</f>
        <v>0</v>
      </c>
      <c r="J165" s="83">
        <f>'CAC Inc Stmt'!J165+'AL Inc Stmt'!J165+'ESL Inc Stmt'!J165</f>
        <v>0</v>
      </c>
      <c r="K165" s="16">
        <f>'CAC Inc Stmt'!K165+'AL Inc Stmt'!K165+'ESL Inc Stmt'!K165</f>
        <v>0</v>
      </c>
      <c r="L165" s="167">
        <f>'CAC Inc Stmt'!L165+'AL Inc Stmt'!L165+'ESL Inc Stmt'!L165</f>
        <v>0</v>
      </c>
      <c r="M165" s="148">
        <f>'CAC Inc Stmt'!M165+'AL Inc Stmt'!M165+'ESL Inc Stmt'!M165</f>
        <v>0</v>
      </c>
      <c r="N165" s="148">
        <f>'CAC Inc Stmt'!N165+'AL Inc Stmt'!N165+'ESL Inc Stmt'!N165</f>
        <v>0</v>
      </c>
      <c r="O165" s="148">
        <f>'CAC Inc Stmt'!O165+'AL Inc Stmt'!O165+'ESL Inc Stmt'!O165</f>
        <v>0</v>
      </c>
      <c r="P165" s="150">
        <f>'CAC Inc Stmt'!P165+'AL Inc Stmt'!P165+'ESL Inc Stmt'!P165</f>
        <v>0</v>
      </c>
      <c r="Q165" s="151">
        <f>'CAC Inc Stmt'!Q165+'AL Inc Stmt'!Q165+'ESL Inc Stmt'!Q165</f>
        <v>50</v>
      </c>
      <c r="R165" s="152">
        <f>P165-Q165</f>
        <v>-50</v>
      </c>
      <c r="S165" s="173">
        <f>IF(Q165=0,"",P165/Q165)</f>
        <v>0</v>
      </c>
      <c r="T165" s="154">
        <f>P165-G165</f>
        <v>-449</v>
      </c>
      <c r="U165" s="170">
        <f>IF(G165=0,"",P165/G165)</f>
        <v>0</v>
      </c>
    </row>
    <row r="166" spans="1:21" x14ac:dyDescent="0.2">
      <c r="F166" s="195"/>
      <c r="G166" s="166"/>
      <c r="H166" s="83"/>
      <c r="I166" s="83"/>
      <c r="J166" s="83"/>
      <c r="K166" s="15"/>
      <c r="L166" s="167"/>
      <c r="M166" s="148"/>
      <c r="N166" s="148"/>
      <c r="O166" s="148"/>
      <c r="P166" s="150"/>
      <c r="Q166" s="151"/>
      <c r="R166" s="152"/>
      <c r="S166" s="153"/>
      <c r="T166" s="154"/>
      <c r="U166" s="170"/>
    </row>
    <row r="167" spans="1:21" x14ac:dyDescent="0.2">
      <c r="C167" s="118" t="s">
        <v>187</v>
      </c>
      <c r="F167" s="215"/>
      <c r="G167" s="216">
        <f>'CAC Inc Stmt'!G167+'AL Inc Stmt'!G167+'ESL Inc Stmt'!G167</f>
        <v>1533.78</v>
      </c>
      <c r="H167" s="91">
        <f>'CAC Inc Stmt'!H167+'AL Inc Stmt'!H167+'ESL Inc Stmt'!H167</f>
        <v>270.55</v>
      </c>
      <c r="I167" s="91">
        <f>'CAC Inc Stmt'!I167+'AL Inc Stmt'!I167+'ESL Inc Stmt'!I167</f>
        <v>918</v>
      </c>
      <c r="J167" s="91">
        <f>'CAC Inc Stmt'!J167+'AL Inc Stmt'!J167+'ESL Inc Stmt'!J167</f>
        <v>1129</v>
      </c>
      <c r="K167" s="247">
        <f>'CAC Inc Stmt'!K167+'AL Inc Stmt'!K167+'ESL Inc Stmt'!K167</f>
        <v>1964.25</v>
      </c>
      <c r="L167" s="218">
        <f>'CAC Inc Stmt'!L167+'AL Inc Stmt'!L167+'ESL Inc Stmt'!L167</f>
        <v>270.55</v>
      </c>
      <c r="M167" s="217">
        <f>'CAC Inc Stmt'!M167+'AL Inc Stmt'!M167+'ESL Inc Stmt'!M167</f>
        <v>647.45000000000005</v>
      </c>
      <c r="N167" s="217">
        <f>'CAC Inc Stmt'!N167+'AL Inc Stmt'!N167+'ESL Inc Stmt'!N167</f>
        <v>211</v>
      </c>
      <c r="O167" s="217">
        <f>'CAC Inc Stmt'!O167+'AL Inc Stmt'!O167+'ESL Inc Stmt'!O167</f>
        <v>835.25</v>
      </c>
      <c r="P167" s="219">
        <f>'CAC Inc Stmt'!P167+'AL Inc Stmt'!P167+'ESL Inc Stmt'!P167</f>
        <v>1964.25</v>
      </c>
      <c r="Q167" s="220">
        <f>'CAC Inc Stmt'!Q167+'AL Inc Stmt'!Q167+'ESL Inc Stmt'!Q167</f>
        <v>1850</v>
      </c>
      <c r="R167" s="221">
        <f>SUM(R161:R166)</f>
        <v>114.25</v>
      </c>
      <c r="S167" s="222">
        <f>IF(Q167=0,"",P167/Q167)</f>
        <v>1.0617567567567567</v>
      </c>
      <c r="T167" s="223">
        <f>SUM(T161:T166)</f>
        <v>430.47</v>
      </c>
      <c r="U167" s="224">
        <f>IF(G167=0,"",P167/G167)</f>
        <v>1.2806595470015256</v>
      </c>
    </row>
    <row r="171" spans="1:21" x14ac:dyDescent="0.2">
      <c r="A171" s="116" t="s">
        <v>66</v>
      </c>
    </row>
    <row r="172" spans="1:21" x14ac:dyDescent="0.2">
      <c r="A172" s="116">
        <v>1</v>
      </c>
      <c r="B172" s="225" t="s">
        <v>87</v>
      </c>
    </row>
    <row r="173" spans="1:21" x14ac:dyDescent="0.2">
      <c r="A173" s="116">
        <v>2</v>
      </c>
      <c r="B173" s="116" t="s">
        <v>8</v>
      </c>
    </row>
    <row r="174" spans="1:21" x14ac:dyDescent="0.2">
      <c r="A174" s="116">
        <v>3</v>
      </c>
      <c r="B174" s="116" t="s">
        <v>9</v>
      </c>
    </row>
    <row r="175" spans="1:21" x14ac:dyDescent="0.2">
      <c r="A175" s="116">
        <v>4</v>
      </c>
      <c r="B175" s="116" t="s">
        <v>10</v>
      </c>
    </row>
  </sheetData>
  <sheetProtection algorithmName="SHA-512" hashValue="Wpn0jOU4nmIcNgISYRRltwVvTnC8nPpo9l5P06QzBNHW+UJWdJQNa6hXBJPUByoUoGKfuxvC/ysPhFkaj29PZw==" saltValue="aLkznBjl8ZzEm58GfPNWGA==" spinCount="100000" sheet="1" objects="1" scenarios="1"/>
  <dataConsolidate/>
  <phoneticPr fontId="4" type="noConversion"/>
  <pageMargins left="0.75" right="0.75" top="0.5" bottom="1" header="0.5" footer="0.5"/>
  <pageSetup scale="59" fitToHeight="3" orientation="landscape" horizontalDpi="4294967293" verticalDpi="4294967293" r:id="rId1"/>
  <headerFooter alignWithMargins="0">
    <oddFooter>&amp;L&amp;F&amp;C&amp;D&amp;R&amp;A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4"/>
    <pageSetUpPr fitToPage="1"/>
  </sheetPr>
  <dimension ref="A1:U175"/>
  <sheetViews>
    <sheetView zoomScaleNormal="100" workbookViewId="0">
      <pane xSplit="5" ySplit="6" topLeftCell="F7" activePane="bottomRight" state="frozen"/>
      <selection activeCell="J58" sqref="J58"/>
      <selection pane="topRight" activeCell="J58" sqref="J58"/>
      <selection pane="bottomLeft" activeCell="J58" sqref="J58"/>
      <selection pane="bottomRight" activeCell="F7" sqref="F7"/>
    </sheetView>
  </sheetViews>
  <sheetFormatPr defaultColWidth="11.08984375" defaultRowHeight="12.6" outlineLevelRow="1" outlineLevelCol="1" x14ac:dyDescent="0.2"/>
  <cols>
    <col min="1" max="1" width="4.08984375" style="116" customWidth="1"/>
    <col min="2" max="2" width="4.7265625" style="116" customWidth="1"/>
    <col min="3" max="3" width="9.6328125" style="116" customWidth="1"/>
    <col min="4" max="4" width="4.08984375" style="116" customWidth="1"/>
    <col min="5" max="5" width="9.26953125" style="116" customWidth="1"/>
    <col min="6" max="6" width="7.7265625" style="116" customWidth="1"/>
    <col min="7" max="7" width="11.90625" style="116" customWidth="1"/>
    <col min="8" max="8" width="11.90625" hidden="1" customWidth="1" outlineLevel="1"/>
    <col min="9" max="9" width="12.6328125" hidden="1" customWidth="1" outlineLevel="1"/>
    <col min="10" max="10" width="12.54296875" hidden="1" customWidth="1" outlineLevel="1"/>
    <col min="11" max="11" width="11.81640625" hidden="1" customWidth="1" outlineLevel="1"/>
    <col min="12" max="12" width="11.08984375" style="116" customWidth="1" collapsed="1"/>
    <col min="13" max="13" width="11.08984375" style="116"/>
    <col min="14" max="14" width="12.36328125" style="116" customWidth="1"/>
    <col min="15" max="15" width="11.08984375" style="116"/>
    <col min="16" max="16" width="12.7265625" style="116" customWidth="1"/>
    <col min="17" max="17" width="12" style="116" customWidth="1"/>
    <col min="18" max="18" width="11.08984375" style="116"/>
    <col min="19" max="19" width="10.08984375" style="116" customWidth="1"/>
    <col min="20" max="16384" width="11.08984375" style="116"/>
  </cols>
  <sheetData>
    <row r="1" spans="1:21" ht="16.2" x14ac:dyDescent="0.3">
      <c r="A1" s="115" t="s">
        <v>259</v>
      </c>
    </row>
    <row r="2" spans="1:21" x14ac:dyDescent="0.2">
      <c r="A2" s="117" t="s">
        <v>179</v>
      </c>
    </row>
    <row r="3" spans="1:21" ht="15" thickBot="1" x14ac:dyDescent="0.35">
      <c r="A3" s="118" t="s">
        <v>261</v>
      </c>
      <c r="E3" s="139"/>
    </row>
    <row r="4" spans="1:21" ht="13.2" thickBot="1" x14ac:dyDescent="0.25">
      <c r="A4" s="118" t="s">
        <v>262</v>
      </c>
      <c r="D4" s="119">
        <v>4</v>
      </c>
    </row>
    <row r="5" spans="1:21" customFormat="1" x14ac:dyDescent="0.2">
      <c r="A5" s="1"/>
      <c r="F5" s="10" t="s">
        <v>212</v>
      </c>
      <c r="G5" s="28" t="s">
        <v>263</v>
      </c>
      <c r="H5" s="258" t="s">
        <v>445</v>
      </c>
      <c r="I5" s="6" t="s">
        <v>450</v>
      </c>
      <c r="J5" s="270" t="s">
        <v>443</v>
      </c>
      <c r="K5" s="278" t="s">
        <v>454</v>
      </c>
      <c r="L5" s="4" t="s">
        <v>134</v>
      </c>
      <c r="M5" s="5" t="s">
        <v>134</v>
      </c>
      <c r="N5" s="5" t="s">
        <v>134</v>
      </c>
      <c r="O5" s="5" t="s">
        <v>134</v>
      </c>
      <c r="P5" s="26" t="s">
        <v>29</v>
      </c>
      <c r="Q5" s="238" t="s">
        <v>441</v>
      </c>
      <c r="R5" s="24" t="s">
        <v>135</v>
      </c>
      <c r="S5" s="140" t="s">
        <v>135</v>
      </c>
      <c r="T5" s="141" t="s">
        <v>136</v>
      </c>
      <c r="U5" s="142" t="s">
        <v>265</v>
      </c>
    </row>
    <row r="6" spans="1:21" customFormat="1" x14ac:dyDescent="0.2">
      <c r="F6" s="11" t="s">
        <v>213</v>
      </c>
      <c r="G6" s="29" t="s">
        <v>426</v>
      </c>
      <c r="H6" s="259">
        <v>41089</v>
      </c>
      <c r="I6" s="70">
        <v>41181</v>
      </c>
      <c r="J6" s="271">
        <v>41273</v>
      </c>
      <c r="K6" s="279">
        <v>41363</v>
      </c>
      <c r="L6" s="69">
        <v>41089</v>
      </c>
      <c r="M6" s="70">
        <v>41181</v>
      </c>
      <c r="N6" s="70">
        <v>41273</v>
      </c>
      <c r="O6" s="70">
        <v>41363</v>
      </c>
      <c r="P6" s="75" t="s">
        <v>438</v>
      </c>
      <c r="Q6" s="240" t="s">
        <v>438</v>
      </c>
      <c r="R6" s="25" t="s">
        <v>16</v>
      </c>
      <c r="S6" s="143" t="s">
        <v>17</v>
      </c>
      <c r="T6" s="144" t="s">
        <v>18</v>
      </c>
      <c r="U6" s="145" t="s">
        <v>108</v>
      </c>
    </row>
    <row r="7" spans="1:21" x14ac:dyDescent="0.2">
      <c r="A7" s="118" t="s">
        <v>379</v>
      </c>
      <c r="B7" s="118"/>
      <c r="F7" s="146"/>
      <c r="G7" s="147"/>
      <c r="H7" s="83"/>
      <c r="I7" s="83"/>
      <c r="J7" s="83"/>
      <c r="K7" s="15"/>
      <c r="L7" s="149"/>
      <c r="M7" s="148"/>
      <c r="N7" s="148"/>
      <c r="O7" s="148"/>
      <c r="P7" s="150"/>
      <c r="Q7" s="151"/>
      <c r="R7" s="152"/>
      <c r="S7" s="153"/>
      <c r="T7" s="154"/>
      <c r="U7" s="155"/>
    </row>
    <row r="8" spans="1:21" x14ac:dyDescent="0.2">
      <c r="A8" s="118"/>
      <c r="B8" s="118" t="s">
        <v>380</v>
      </c>
      <c r="F8" s="156"/>
      <c r="G8" s="157">
        <f>SUM(G9:G18)</f>
        <v>0</v>
      </c>
      <c r="H8" s="260">
        <f>SUM(H9:H18)</f>
        <v>0</v>
      </c>
      <c r="I8" s="84">
        <f>SUM(I9:I18)</f>
        <v>0</v>
      </c>
      <c r="J8" s="260">
        <f>SUM(J9:J18)</f>
        <v>0</v>
      </c>
      <c r="K8" s="280">
        <f>SUM(K9:K18)</f>
        <v>0</v>
      </c>
      <c r="L8" s="159">
        <f t="shared" ref="L8:R8" si="0">SUM(L9:L18)</f>
        <v>0</v>
      </c>
      <c r="M8" s="158">
        <f t="shared" si="0"/>
        <v>0</v>
      </c>
      <c r="N8" s="158">
        <f t="shared" si="0"/>
        <v>0</v>
      </c>
      <c r="O8" s="158">
        <f t="shared" si="0"/>
        <v>0</v>
      </c>
      <c r="P8" s="160">
        <f t="shared" si="0"/>
        <v>0</v>
      </c>
      <c r="Q8" s="161">
        <f>SUM(Q9:Q18)</f>
        <v>0</v>
      </c>
      <c r="R8" s="162">
        <f t="shared" si="0"/>
        <v>0</v>
      </c>
      <c r="S8" s="163" t="str">
        <f t="shared" ref="S8:S16" si="1">IF(Q8=0,"",P8/Q8)</f>
        <v/>
      </c>
      <c r="T8" s="164">
        <f>SUM(T9:T18)</f>
        <v>0</v>
      </c>
      <c r="U8" s="165" t="str">
        <f t="shared" ref="U8:U17" si="2">IF(G8=0,"",P8/G8)</f>
        <v/>
      </c>
    </row>
    <row r="9" spans="1:21" hidden="1" outlineLevel="1" x14ac:dyDescent="0.2">
      <c r="C9" s="116" t="s">
        <v>381</v>
      </c>
      <c r="F9" s="156"/>
      <c r="G9" s="166"/>
      <c r="H9" s="83"/>
      <c r="I9" s="83"/>
      <c r="J9" s="83"/>
      <c r="K9" s="15"/>
      <c r="L9" s="167">
        <f t="shared" ref="L9:L17" si="3">+H9</f>
        <v>0</v>
      </c>
      <c r="M9" s="148">
        <f t="shared" ref="M9:M17" si="4">IF(I9=0,0,I9-H9)</f>
        <v>0</v>
      </c>
      <c r="N9" s="148">
        <f t="shared" ref="N9:O17" si="5">IF(J9=0,0,J9-I9)</f>
        <v>0</v>
      </c>
      <c r="O9" s="148">
        <f t="shared" si="5"/>
        <v>0</v>
      </c>
      <c r="P9" s="150">
        <f t="shared" ref="P9:P17" si="6">SUM(L9:O9)</f>
        <v>0</v>
      </c>
      <c r="Q9" s="151"/>
      <c r="R9" s="152">
        <f t="shared" ref="R9:R17" si="7">P9-Q9</f>
        <v>0</v>
      </c>
      <c r="S9" s="168" t="str">
        <f t="shared" si="1"/>
        <v/>
      </c>
      <c r="T9" s="154">
        <f t="shared" ref="T9:T17" si="8">P9-G9</f>
        <v>0</v>
      </c>
      <c r="U9" s="169" t="str">
        <f t="shared" si="2"/>
        <v/>
      </c>
    </row>
    <row r="10" spans="1:21" hidden="1" outlineLevel="1" x14ac:dyDescent="0.2">
      <c r="C10" s="116" t="s">
        <v>382</v>
      </c>
      <c r="F10" s="156" t="s">
        <v>383</v>
      </c>
      <c r="G10" s="166"/>
      <c r="H10" s="83"/>
      <c r="I10" s="83"/>
      <c r="J10" s="83"/>
      <c r="K10" s="15"/>
      <c r="L10" s="167">
        <f t="shared" si="3"/>
        <v>0</v>
      </c>
      <c r="M10" s="148">
        <f t="shared" si="4"/>
        <v>0</v>
      </c>
      <c r="N10" s="148">
        <f t="shared" si="5"/>
        <v>0</v>
      </c>
      <c r="O10" s="148">
        <f t="shared" si="5"/>
        <v>0</v>
      </c>
      <c r="P10" s="150">
        <f t="shared" si="6"/>
        <v>0</v>
      </c>
      <c r="Q10" s="151"/>
      <c r="R10" s="152">
        <f t="shared" si="7"/>
        <v>0</v>
      </c>
      <c r="S10" s="168" t="str">
        <f t="shared" si="1"/>
        <v/>
      </c>
      <c r="T10" s="154">
        <f t="shared" si="8"/>
        <v>0</v>
      </c>
      <c r="U10" s="169" t="str">
        <f t="shared" si="2"/>
        <v/>
      </c>
    </row>
    <row r="11" spans="1:21" hidden="1" outlineLevel="1" x14ac:dyDescent="0.2">
      <c r="C11" s="116" t="s">
        <v>384</v>
      </c>
      <c r="F11" s="156"/>
      <c r="G11" s="166"/>
      <c r="H11" s="83"/>
      <c r="I11" s="83"/>
      <c r="J11" s="83"/>
      <c r="K11" s="15"/>
      <c r="L11" s="167">
        <f t="shared" si="3"/>
        <v>0</v>
      </c>
      <c r="M11" s="148">
        <f t="shared" si="4"/>
        <v>0</v>
      </c>
      <c r="N11" s="148">
        <f t="shared" si="5"/>
        <v>0</v>
      </c>
      <c r="O11" s="148">
        <f t="shared" si="5"/>
        <v>0</v>
      </c>
      <c r="P11" s="150">
        <f t="shared" si="6"/>
        <v>0</v>
      </c>
      <c r="Q11" s="151"/>
      <c r="R11" s="152">
        <f t="shared" si="7"/>
        <v>0</v>
      </c>
      <c r="S11" s="168" t="str">
        <f t="shared" si="1"/>
        <v/>
      </c>
      <c r="T11" s="154">
        <f t="shared" si="8"/>
        <v>0</v>
      </c>
      <c r="U11" s="169" t="str">
        <f t="shared" si="2"/>
        <v/>
      </c>
    </row>
    <row r="12" spans="1:21" hidden="1" outlineLevel="1" x14ac:dyDescent="0.2">
      <c r="C12" s="116" t="s">
        <v>385</v>
      </c>
      <c r="F12" s="156"/>
      <c r="G12" s="166"/>
      <c r="H12" s="83"/>
      <c r="I12" s="83"/>
      <c r="J12" s="83"/>
      <c r="K12" s="15"/>
      <c r="L12" s="167">
        <f t="shared" si="3"/>
        <v>0</v>
      </c>
      <c r="M12" s="148">
        <f t="shared" si="4"/>
        <v>0</v>
      </c>
      <c r="N12" s="148">
        <f t="shared" si="5"/>
        <v>0</v>
      </c>
      <c r="O12" s="148">
        <f t="shared" si="5"/>
        <v>0</v>
      </c>
      <c r="P12" s="150">
        <f t="shared" si="6"/>
        <v>0</v>
      </c>
      <c r="Q12" s="151"/>
      <c r="R12" s="152">
        <f t="shared" si="7"/>
        <v>0</v>
      </c>
      <c r="S12" s="168" t="str">
        <f t="shared" si="1"/>
        <v/>
      </c>
      <c r="T12" s="154">
        <f t="shared" si="8"/>
        <v>0</v>
      </c>
      <c r="U12" s="169" t="str">
        <f t="shared" si="2"/>
        <v/>
      </c>
    </row>
    <row r="13" spans="1:21" hidden="1" outlineLevel="1" x14ac:dyDescent="0.2">
      <c r="C13" s="116" t="s">
        <v>386</v>
      </c>
      <c r="F13" s="156"/>
      <c r="G13" s="166"/>
      <c r="H13" s="83"/>
      <c r="I13" s="83"/>
      <c r="J13" s="83"/>
      <c r="K13" s="15"/>
      <c r="L13" s="167">
        <f t="shared" si="3"/>
        <v>0</v>
      </c>
      <c r="M13" s="148">
        <f t="shared" si="4"/>
        <v>0</v>
      </c>
      <c r="N13" s="148">
        <f t="shared" si="5"/>
        <v>0</v>
      </c>
      <c r="O13" s="148">
        <f t="shared" si="5"/>
        <v>0</v>
      </c>
      <c r="P13" s="150">
        <f t="shared" si="6"/>
        <v>0</v>
      </c>
      <c r="Q13" s="151"/>
      <c r="R13" s="152">
        <f t="shared" si="7"/>
        <v>0</v>
      </c>
      <c r="S13" s="168" t="str">
        <f t="shared" si="1"/>
        <v/>
      </c>
      <c r="T13" s="154">
        <f t="shared" si="8"/>
        <v>0</v>
      </c>
      <c r="U13" s="169" t="str">
        <f t="shared" si="2"/>
        <v/>
      </c>
    </row>
    <row r="14" spans="1:21" hidden="1" outlineLevel="1" x14ac:dyDescent="0.2">
      <c r="C14" s="116" t="s">
        <v>387</v>
      </c>
      <c r="F14" s="156">
        <v>5490</v>
      </c>
      <c r="G14" s="166"/>
      <c r="H14" s="83"/>
      <c r="I14" s="83"/>
      <c r="J14" s="83"/>
      <c r="K14" s="15"/>
      <c r="L14" s="167">
        <f t="shared" si="3"/>
        <v>0</v>
      </c>
      <c r="M14" s="148">
        <f t="shared" si="4"/>
        <v>0</v>
      </c>
      <c r="N14" s="148">
        <f t="shared" si="5"/>
        <v>0</v>
      </c>
      <c r="O14" s="148">
        <f t="shared" si="5"/>
        <v>0</v>
      </c>
      <c r="P14" s="150">
        <f t="shared" si="6"/>
        <v>0</v>
      </c>
      <c r="Q14" s="151"/>
      <c r="R14" s="152">
        <f t="shared" si="7"/>
        <v>0</v>
      </c>
      <c r="S14" s="168" t="str">
        <f t="shared" si="1"/>
        <v/>
      </c>
      <c r="T14" s="154">
        <f t="shared" si="8"/>
        <v>0</v>
      </c>
      <c r="U14" s="169" t="str">
        <f t="shared" si="2"/>
        <v/>
      </c>
    </row>
    <row r="15" spans="1:21" hidden="1" outlineLevel="1" x14ac:dyDescent="0.2">
      <c r="C15" s="242" t="s">
        <v>415</v>
      </c>
      <c r="F15" s="156"/>
      <c r="G15" s="166"/>
      <c r="H15" s="83"/>
      <c r="I15" s="83"/>
      <c r="J15" s="83"/>
      <c r="K15" s="15"/>
      <c r="L15" s="167">
        <f t="shared" si="3"/>
        <v>0</v>
      </c>
      <c r="M15" s="148">
        <f t="shared" si="4"/>
        <v>0</v>
      </c>
      <c r="N15" s="148">
        <f t="shared" si="5"/>
        <v>0</v>
      </c>
      <c r="O15" s="148">
        <f t="shared" si="5"/>
        <v>0</v>
      </c>
      <c r="P15" s="150">
        <f t="shared" si="6"/>
        <v>0</v>
      </c>
      <c r="Q15" s="151"/>
      <c r="R15" s="152">
        <f t="shared" si="7"/>
        <v>0</v>
      </c>
      <c r="S15" s="168" t="str">
        <f t="shared" si="1"/>
        <v/>
      </c>
      <c r="T15" s="154">
        <f t="shared" si="8"/>
        <v>0</v>
      </c>
      <c r="U15" s="169" t="str">
        <f t="shared" si="2"/>
        <v/>
      </c>
    </row>
    <row r="16" spans="1:21" hidden="1" outlineLevel="1" x14ac:dyDescent="0.2">
      <c r="F16" s="156"/>
      <c r="G16" s="166"/>
      <c r="H16" s="83"/>
      <c r="I16" s="83"/>
      <c r="J16" s="83"/>
      <c r="K16" s="15"/>
      <c r="L16" s="167">
        <f t="shared" si="3"/>
        <v>0</v>
      </c>
      <c r="M16" s="148">
        <f t="shared" si="4"/>
        <v>0</v>
      </c>
      <c r="N16" s="148">
        <f t="shared" si="5"/>
        <v>0</v>
      </c>
      <c r="O16" s="148">
        <f t="shared" si="5"/>
        <v>0</v>
      </c>
      <c r="P16" s="150">
        <f t="shared" si="6"/>
        <v>0</v>
      </c>
      <c r="Q16" s="151"/>
      <c r="R16" s="152">
        <f t="shared" si="7"/>
        <v>0</v>
      </c>
      <c r="S16" s="168" t="str">
        <f t="shared" si="1"/>
        <v/>
      </c>
      <c r="T16" s="154">
        <f t="shared" si="8"/>
        <v>0</v>
      </c>
      <c r="U16" s="169" t="str">
        <f t="shared" si="2"/>
        <v/>
      </c>
    </row>
    <row r="17" spans="2:21" hidden="1" outlineLevel="1" x14ac:dyDescent="0.2">
      <c r="F17" s="156"/>
      <c r="G17" s="166"/>
      <c r="H17" s="83"/>
      <c r="I17" s="83"/>
      <c r="J17" s="83"/>
      <c r="K17" s="15"/>
      <c r="L17" s="167">
        <f t="shared" si="3"/>
        <v>0</v>
      </c>
      <c r="M17" s="148">
        <f t="shared" si="4"/>
        <v>0</v>
      </c>
      <c r="N17" s="148">
        <f t="shared" si="5"/>
        <v>0</v>
      </c>
      <c r="O17" s="148">
        <f t="shared" si="5"/>
        <v>0</v>
      </c>
      <c r="P17" s="150">
        <f t="shared" si="6"/>
        <v>0</v>
      </c>
      <c r="Q17" s="151"/>
      <c r="R17" s="152">
        <f t="shared" si="7"/>
        <v>0</v>
      </c>
      <c r="S17" s="153"/>
      <c r="T17" s="154">
        <f t="shared" si="8"/>
        <v>0</v>
      </c>
      <c r="U17" s="170" t="str">
        <f t="shared" si="2"/>
        <v/>
      </c>
    </row>
    <row r="18" spans="2:21" hidden="1" outlineLevel="1" x14ac:dyDescent="0.2">
      <c r="F18" s="156"/>
      <c r="G18" s="166"/>
      <c r="H18" s="83"/>
      <c r="I18" s="83"/>
      <c r="J18" s="83"/>
      <c r="K18" s="15"/>
      <c r="L18" s="167"/>
      <c r="M18" s="148"/>
      <c r="N18" s="148"/>
      <c r="O18" s="148"/>
      <c r="P18" s="150"/>
      <c r="Q18" s="151"/>
      <c r="R18" s="152"/>
      <c r="S18" s="153"/>
      <c r="T18" s="154"/>
      <c r="U18" s="155"/>
    </row>
    <row r="19" spans="2:21" hidden="1" outlineLevel="1" x14ac:dyDescent="0.2">
      <c r="F19" s="156"/>
      <c r="G19" s="166"/>
      <c r="H19" s="83"/>
      <c r="I19" s="83"/>
      <c r="J19" s="83"/>
      <c r="K19" s="15"/>
      <c r="L19" s="167"/>
      <c r="M19" s="148"/>
      <c r="N19" s="148"/>
      <c r="O19" s="148"/>
      <c r="P19" s="150"/>
      <c r="Q19" s="151"/>
      <c r="R19" s="152"/>
      <c r="S19" s="153"/>
      <c r="T19" s="154"/>
      <c r="U19" s="155"/>
    </row>
    <row r="20" spans="2:21" collapsed="1" x14ac:dyDescent="0.2">
      <c r="B20" s="118" t="s">
        <v>388</v>
      </c>
      <c r="F20" s="156"/>
      <c r="G20" s="157">
        <f>SUM(G21:G32)</f>
        <v>72036</v>
      </c>
      <c r="H20" s="260">
        <f>SUM(H21:H32)</f>
        <v>15110.08</v>
      </c>
      <c r="I20" s="84">
        <f>SUM(I21:I32)</f>
        <v>45169</v>
      </c>
      <c r="J20" s="260">
        <f>SUM(J21:J32)</f>
        <v>62605</v>
      </c>
      <c r="K20" s="280">
        <f>SUM(K21:K32)</f>
        <v>88169</v>
      </c>
      <c r="L20" s="159">
        <f t="shared" ref="L20:R20" si="9">SUM(L21:L32)</f>
        <v>15110.08</v>
      </c>
      <c r="M20" s="158">
        <f t="shared" si="9"/>
        <v>30058.92</v>
      </c>
      <c r="N20" s="158">
        <f t="shared" si="9"/>
        <v>17436</v>
      </c>
      <c r="O20" s="158">
        <f t="shared" si="9"/>
        <v>25564</v>
      </c>
      <c r="P20" s="160">
        <f t="shared" si="9"/>
        <v>88169</v>
      </c>
      <c r="Q20" s="161">
        <f>SUM(Q21:Q32)</f>
        <v>71800</v>
      </c>
      <c r="R20" s="162">
        <f t="shared" si="9"/>
        <v>16369</v>
      </c>
      <c r="S20" s="163">
        <f t="shared" ref="S20:S31" si="10">IF(Q20=0,"",P20/Q20)</f>
        <v>1.2279805013927576</v>
      </c>
      <c r="T20" s="164">
        <f>SUM(T21:T32)</f>
        <v>16133</v>
      </c>
      <c r="U20" s="165">
        <f t="shared" ref="U20:U28" si="11">IF(G20=0,"",P20/G20)</f>
        <v>1.2239574657115886</v>
      </c>
    </row>
    <row r="21" spans="2:21" outlineLevel="1" x14ac:dyDescent="0.2">
      <c r="C21" s="116" t="s">
        <v>389</v>
      </c>
      <c r="F21" s="156">
        <v>5182</v>
      </c>
      <c r="G21" s="166">
        <f>18344+1857+608</f>
        <v>20809</v>
      </c>
      <c r="H21" s="83">
        <v>2563</v>
      </c>
      <c r="I21" s="83">
        <v>11332</v>
      </c>
      <c r="J21" s="83">
        <v>18393</v>
      </c>
      <c r="K21" s="15">
        <v>24994</v>
      </c>
      <c r="L21" s="167">
        <f t="shared" ref="L21:L30" si="12">+H21</f>
        <v>2563</v>
      </c>
      <c r="M21" s="148">
        <f t="shared" ref="M21:M30" si="13">IF(I21=0,0,I21-H21)</f>
        <v>8769</v>
      </c>
      <c r="N21" s="148">
        <f t="shared" ref="N21:O30" si="14">IF(J21=0,0,J21-I21)</f>
        <v>7061</v>
      </c>
      <c r="O21" s="148">
        <f t="shared" si="14"/>
        <v>6601</v>
      </c>
      <c r="P21" s="150">
        <f t="shared" ref="P21:P30" si="15">SUM(L21:O21)</f>
        <v>24994</v>
      </c>
      <c r="Q21" s="151">
        <v>20000</v>
      </c>
      <c r="R21" s="152">
        <f t="shared" ref="R21:R31" si="16">P21-Q21</f>
        <v>4994</v>
      </c>
      <c r="S21" s="168">
        <f t="shared" si="10"/>
        <v>1.2497</v>
      </c>
      <c r="T21" s="154">
        <f t="shared" ref="T21:T31" si="17">P21-G21</f>
        <v>4185</v>
      </c>
      <c r="U21" s="169">
        <f t="shared" si="11"/>
        <v>1.2011149022057763</v>
      </c>
    </row>
    <row r="22" spans="2:21" outlineLevel="1" x14ac:dyDescent="0.2">
      <c r="C22" s="116" t="s">
        <v>390</v>
      </c>
      <c r="F22" s="156">
        <v>5181</v>
      </c>
      <c r="G22" s="166">
        <v>33069</v>
      </c>
      <c r="H22" s="83">
        <v>6668</v>
      </c>
      <c r="I22" s="83">
        <v>21276</v>
      </c>
      <c r="J22" s="83">
        <f>26722</f>
        <v>26722</v>
      </c>
      <c r="K22" s="15">
        <v>43548</v>
      </c>
      <c r="L22" s="167">
        <f t="shared" si="12"/>
        <v>6668</v>
      </c>
      <c r="M22" s="148">
        <f t="shared" si="13"/>
        <v>14608</v>
      </c>
      <c r="N22" s="148">
        <f t="shared" si="14"/>
        <v>5446</v>
      </c>
      <c r="O22" s="148">
        <f t="shared" si="14"/>
        <v>16826</v>
      </c>
      <c r="P22" s="150">
        <f t="shared" si="15"/>
        <v>43548</v>
      </c>
      <c r="Q22" s="151">
        <v>33000</v>
      </c>
      <c r="R22" s="152">
        <f t="shared" si="16"/>
        <v>10548</v>
      </c>
      <c r="S22" s="168">
        <f t="shared" si="10"/>
        <v>1.3196363636363637</v>
      </c>
      <c r="T22" s="154">
        <f t="shared" si="17"/>
        <v>10479</v>
      </c>
      <c r="U22" s="169">
        <f t="shared" si="11"/>
        <v>1.3168828812482991</v>
      </c>
    </row>
    <row r="23" spans="2:21" outlineLevel="1" x14ac:dyDescent="0.2">
      <c r="C23" s="116" t="s">
        <v>391</v>
      </c>
      <c r="F23" s="156" t="s">
        <v>392</v>
      </c>
      <c r="G23" s="166">
        <v>10580</v>
      </c>
      <c r="H23" s="83">
        <v>4780</v>
      </c>
      <c r="I23" s="83">
        <v>8679</v>
      </c>
      <c r="J23" s="83">
        <f>10242+2884-275</f>
        <v>12851</v>
      </c>
      <c r="K23" s="15">
        <f>10518+3401</f>
        <v>13919</v>
      </c>
      <c r="L23" s="167">
        <f t="shared" si="12"/>
        <v>4780</v>
      </c>
      <c r="M23" s="148">
        <f t="shared" si="13"/>
        <v>3899</v>
      </c>
      <c r="N23" s="148">
        <f t="shared" si="14"/>
        <v>4172</v>
      </c>
      <c r="O23" s="148">
        <f t="shared" si="14"/>
        <v>1068</v>
      </c>
      <c r="P23" s="150">
        <f t="shared" si="15"/>
        <v>13919</v>
      </c>
      <c r="Q23" s="151">
        <v>11000</v>
      </c>
      <c r="R23" s="152">
        <f t="shared" si="16"/>
        <v>2919</v>
      </c>
      <c r="S23" s="168">
        <f t="shared" si="10"/>
        <v>1.2653636363636365</v>
      </c>
      <c r="T23" s="154">
        <f t="shared" si="17"/>
        <v>3339</v>
      </c>
      <c r="U23" s="169">
        <f t="shared" si="11"/>
        <v>1.3155954631379962</v>
      </c>
    </row>
    <row r="24" spans="2:21" outlineLevel="1" x14ac:dyDescent="0.2">
      <c r="C24" s="116" t="s">
        <v>282</v>
      </c>
      <c r="F24" s="156" t="s">
        <v>283</v>
      </c>
      <c r="G24" s="166">
        <v>500</v>
      </c>
      <c r="H24" s="83">
        <v>275</v>
      </c>
      <c r="I24" s="83">
        <v>275</v>
      </c>
      <c r="J24" s="83">
        <v>275</v>
      </c>
      <c r="K24" s="15">
        <v>275</v>
      </c>
      <c r="L24" s="167">
        <f t="shared" si="12"/>
        <v>275</v>
      </c>
      <c r="M24" s="148">
        <f t="shared" si="13"/>
        <v>0</v>
      </c>
      <c r="N24" s="148">
        <f t="shared" si="14"/>
        <v>0</v>
      </c>
      <c r="O24" s="148">
        <f t="shared" si="14"/>
        <v>0</v>
      </c>
      <c r="P24" s="150">
        <f t="shared" si="15"/>
        <v>275</v>
      </c>
      <c r="Q24" s="151">
        <v>0</v>
      </c>
      <c r="R24" s="152">
        <f t="shared" si="16"/>
        <v>275</v>
      </c>
      <c r="S24" s="168" t="str">
        <f t="shared" si="10"/>
        <v/>
      </c>
      <c r="T24" s="154">
        <f t="shared" si="17"/>
        <v>-225</v>
      </c>
      <c r="U24" s="169">
        <f t="shared" si="11"/>
        <v>0.55000000000000004</v>
      </c>
    </row>
    <row r="25" spans="2:21" outlineLevel="1" x14ac:dyDescent="0.2">
      <c r="C25" s="116" t="s">
        <v>284</v>
      </c>
      <c r="F25" s="156" t="s">
        <v>285</v>
      </c>
      <c r="G25" s="166">
        <v>5790</v>
      </c>
      <c r="H25" s="83">
        <v>640</v>
      </c>
      <c r="I25" s="83">
        <v>2900</v>
      </c>
      <c r="J25" s="83">
        <v>3460</v>
      </c>
      <c r="K25" s="15">
        <v>4415</v>
      </c>
      <c r="L25" s="167">
        <f t="shared" si="12"/>
        <v>640</v>
      </c>
      <c r="M25" s="148">
        <f t="shared" si="13"/>
        <v>2260</v>
      </c>
      <c r="N25" s="148">
        <f t="shared" si="14"/>
        <v>560</v>
      </c>
      <c r="O25" s="148">
        <f t="shared" si="14"/>
        <v>955</v>
      </c>
      <c r="P25" s="150">
        <f t="shared" si="15"/>
        <v>4415</v>
      </c>
      <c r="Q25" s="151">
        <v>6300</v>
      </c>
      <c r="R25" s="152">
        <f t="shared" si="16"/>
        <v>-1885</v>
      </c>
      <c r="S25" s="168">
        <f t="shared" si="10"/>
        <v>0.70079365079365075</v>
      </c>
      <c r="T25" s="154">
        <f t="shared" si="17"/>
        <v>-1375</v>
      </c>
      <c r="U25" s="169">
        <f t="shared" si="11"/>
        <v>0.76252158894645938</v>
      </c>
    </row>
    <row r="26" spans="2:21" outlineLevel="1" x14ac:dyDescent="0.2">
      <c r="C26" s="116" t="s">
        <v>286</v>
      </c>
      <c r="F26" s="156" t="s">
        <v>287</v>
      </c>
      <c r="G26" s="166">
        <v>489</v>
      </c>
      <c r="H26" s="83">
        <v>180</v>
      </c>
      <c r="I26" s="83">
        <v>325</v>
      </c>
      <c r="J26" s="83">
        <v>369</v>
      </c>
      <c r="K26" s="15">
        <v>723</v>
      </c>
      <c r="L26" s="167">
        <f t="shared" si="12"/>
        <v>180</v>
      </c>
      <c r="M26" s="148">
        <f t="shared" si="13"/>
        <v>145</v>
      </c>
      <c r="N26" s="148">
        <f t="shared" si="14"/>
        <v>44</v>
      </c>
      <c r="O26" s="148">
        <f t="shared" si="14"/>
        <v>354</v>
      </c>
      <c r="P26" s="150">
        <f t="shared" si="15"/>
        <v>723</v>
      </c>
      <c r="Q26" s="151">
        <v>500</v>
      </c>
      <c r="R26" s="152">
        <f t="shared" si="16"/>
        <v>223</v>
      </c>
      <c r="S26" s="168">
        <f t="shared" si="10"/>
        <v>1.446</v>
      </c>
      <c r="T26" s="154">
        <f t="shared" si="17"/>
        <v>234</v>
      </c>
      <c r="U26" s="169">
        <f t="shared" si="11"/>
        <v>1.4785276073619631</v>
      </c>
    </row>
    <row r="27" spans="2:21" outlineLevel="1" x14ac:dyDescent="0.2">
      <c r="C27" s="116" t="s">
        <v>382</v>
      </c>
      <c r="F27" s="156" t="s">
        <v>383</v>
      </c>
      <c r="G27" s="166">
        <v>737</v>
      </c>
      <c r="H27" s="83">
        <v>4.08</v>
      </c>
      <c r="I27" s="83">
        <v>382</v>
      </c>
      <c r="J27" s="83">
        <v>535</v>
      </c>
      <c r="K27" s="15">
        <v>295</v>
      </c>
      <c r="L27" s="167">
        <f t="shared" si="12"/>
        <v>4.08</v>
      </c>
      <c r="M27" s="148">
        <f t="shared" si="13"/>
        <v>377.92</v>
      </c>
      <c r="N27" s="148">
        <f t="shared" si="14"/>
        <v>153</v>
      </c>
      <c r="O27" s="148">
        <f t="shared" si="14"/>
        <v>-240</v>
      </c>
      <c r="P27" s="150">
        <f t="shared" si="15"/>
        <v>295</v>
      </c>
      <c r="Q27" s="151">
        <v>1000</v>
      </c>
      <c r="R27" s="152">
        <f t="shared" si="16"/>
        <v>-705</v>
      </c>
      <c r="S27" s="168">
        <f t="shared" si="10"/>
        <v>0.29499999999999998</v>
      </c>
      <c r="T27" s="154">
        <f t="shared" si="17"/>
        <v>-442</v>
      </c>
      <c r="U27" s="169">
        <f t="shared" si="11"/>
        <v>0.40027137042062416</v>
      </c>
    </row>
    <row r="28" spans="2:21" outlineLevel="1" x14ac:dyDescent="0.2">
      <c r="C28" s="116" t="s">
        <v>387</v>
      </c>
      <c r="F28" s="156">
        <v>5490</v>
      </c>
      <c r="G28" s="166">
        <v>62</v>
      </c>
      <c r="H28" s="83"/>
      <c r="I28" s="83">
        <v>0</v>
      </c>
      <c r="J28" s="83"/>
      <c r="K28" s="15"/>
      <c r="L28" s="167">
        <f t="shared" si="12"/>
        <v>0</v>
      </c>
      <c r="M28" s="148">
        <f t="shared" si="13"/>
        <v>0</v>
      </c>
      <c r="N28" s="148">
        <f t="shared" si="14"/>
        <v>0</v>
      </c>
      <c r="O28" s="148">
        <f t="shared" si="14"/>
        <v>0</v>
      </c>
      <c r="P28" s="150">
        <f t="shared" si="15"/>
        <v>0</v>
      </c>
      <c r="Q28" s="151">
        <v>0</v>
      </c>
      <c r="R28" s="152">
        <f t="shared" si="16"/>
        <v>0</v>
      </c>
      <c r="S28" s="168" t="str">
        <f t="shared" si="10"/>
        <v/>
      </c>
      <c r="T28" s="154">
        <f t="shared" si="17"/>
        <v>-62</v>
      </c>
      <c r="U28" s="169">
        <f t="shared" si="11"/>
        <v>0</v>
      </c>
    </row>
    <row r="29" spans="2:21" outlineLevel="1" x14ac:dyDescent="0.2">
      <c r="F29" s="156"/>
      <c r="G29" s="166"/>
      <c r="H29" s="83"/>
      <c r="I29" s="83"/>
      <c r="J29" s="83"/>
      <c r="K29" s="15"/>
      <c r="L29" s="167">
        <f t="shared" si="12"/>
        <v>0</v>
      </c>
      <c r="M29" s="148">
        <f t="shared" si="13"/>
        <v>0</v>
      </c>
      <c r="N29" s="148">
        <f t="shared" si="14"/>
        <v>0</v>
      </c>
      <c r="O29" s="148">
        <f t="shared" si="14"/>
        <v>0</v>
      </c>
      <c r="P29" s="150">
        <f t="shared" si="15"/>
        <v>0</v>
      </c>
      <c r="Q29" s="151"/>
      <c r="R29" s="152">
        <f t="shared" si="16"/>
        <v>0</v>
      </c>
      <c r="S29" s="168" t="str">
        <f t="shared" si="10"/>
        <v/>
      </c>
      <c r="T29" s="154">
        <f t="shared" si="17"/>
        <v>0</v>
      </c>
      <c r="U29" s="155"/>
    </row>
    <row r="30" spans="2:21" outlineLevel="1" x14ac:dyDescent="0.2">
      <c r="F30" s="156"/>
      <c r="G30" s="166"/>
      <c r="H30" s="83"/>
      <c r="I30" s="83"/>
      <c r="J30" s="83"/>
      <c r="K30" s="15"/>
      <c r="L30" s="167">
        <f t="shared" si="12"/>
        <v>0</v>
      </c>
      <c r="M30" s="148">
        <f t="shared" si="13"/>
        <v>0</v>
      </c>
      <c r="N30" s="148">
        <f t="shared" si="14"/>
        <v>0</v>
      </c>
      <c r="O30" s="148">
        <f t="shared" si="14"/>
        <v>0</v>
      </c>
      <c r="P30" s="150">
        <f t="shared" si="15"/>
        <v>0</v>
      </c>
      <c r="Q30" s="151"/>
      <c r="R30" s="152">
        <f t="shared" si="16"/>
        <v>0</v>
      </c>
      <c r="S30" s="168" t="str">
        <f t="shared" si="10"/>
        <v/>
      </c>
      <c r="T30" s="154">
        <f t="shared" si="17"/>
        <v>0</v>
      </c>
      <c r="U30" s="155"/>
    </row>
    <row r="31" spans="2:21" outlineLevel="1" x14ac:dyDescent="0.2">
      <c r="F31" s="156"/>
      <c r="G31" s="166"/>
      <c r="H31" s="83"/>
      <c r="I31" s="83"/>
      <c r="J31" s="83"/>
      <c r="K31" s="15"/>
      <c r="L31" s="167"/>
      <c r="M31" s="148"/>
      <c r="N31" s="148"/>
      <c r="O31" s="148"/>
      <c r="P31" s="150"/>
      <c r="Q31" s="151"/>
      <c r="R31" s="152">
        <f t="shared" si="16"/>
        <v>0</v>
      </c>
      <c r="S31" s="168" t="str">
        <f t="shared" si="10"/>
        <v/>
      </c>
      <c r="T31" s="154">
        <f t="shared" si="17"/>
        <v>0</v>
      </c>
      <c r="U31" s="155"/>
    </row>
    <row r="32" spans="2:21" outlineLevel="1" x14ac:dyDescent="0.2">
      <c r="F32" s="156"/>
      <c r="G32" s="166"/>
      <c r="H32" s="83"/>
      <c r="I32" s="83"/>
      <c r="J32" s="83"/>
      <c r="K32" s="15"/>
      <c r="L32" s="167"/>
      <c r="M32" s="148"/>
      <c r="N32" s="148"/>
      <c r="O32" s="148"/>
      <c r="P32" s="150"/>
      <c r="Q32" s="151"/>
      <c r="R32" s="152"/>
      <c r="S32" s="153"/>
      <c r="T32" s="154"/>
      <c r="U32" s="155"/>
    </row>
    <row r="33" spans="1:21" outlineLevel="1" x14ac:dyDescent="0.2">
      <c r="F33" s="156"/>
      <c r="G33" s="166"/>
      <c r="H33" s="83"/>
      <c r="I33" s="83"/>
      <c r="J33" s="83"/>
      <c r="K33" s="15"/>
      <c r="L33" s="167"/>
      <c r="M33" s="148"/>
      <c r="N33" s="148"/>
      <c r="O33" s="148"/>
      <c r="P33" s="150"/>
      <c r="Q33" s="151"/>
      <c r="R33" s="152"/>
      <c r="S33" s="153"/>
      <c r="T33" s="154"/>
      <c r="U33" s="155"/>
    </row>
    <row r="34" spans="1:21" x14ac:dyDescent="0.2">
      <c r="B34" s="118" t="s">
        <v>288</v>
      </c>
      <c r="F34" s="156"/>
      <c r="G34" s="157">
        <f>SUM(G35:G43)</f>
        <v>0</v>
      </c>
      <c r="H34" s="260">
        <f>SUM(H35:H43)</f>
        <v>0</v>
      </c>
      <c r="I34" s="84">
        <f>SUM(I35:I43)</f>
        <v>0</v>
      </c>
      <c r="J34" s="260">
        <f>SUM(J35:J43)</f>
        <v>0</v>
      </c>
      <c r="K34" s="280">
        <f>SUM(K35:K43)</f>
        <v>0</v>
      </c>
      <c r="L34" s="159">
        <f t="shared" ref="L34:R34" si="18">SUM(L35:L43)</f>
        <v>0</v>
      </c>
      <c r="M34" s="158">
        <f t="shared" si="18"/>
        <v>0</v>
      </c>
      <c r="N34" s="158">
        <f t="shared" si="18"/>
        <v>0</v>
      </c>
      <c r="O34" s="158">
        <f t="shared" si="18"/>
        <v>0</v>
      </c>
      <c r="P34" s="160">
        <f t="shared" si="18"/>
        <v>0</v>
      </c>
      <c r="Q34" s="161">
        <f>SUM(Q35:Q43)</f>
        <v>0</v>
      </c>
      <c r="R34" s="162">
        <f t="shared" si="18"/>
        <v>0</v>
      </c>
      <c r="S34" s="171" t="str">
        <f>IF(Q34=0,"",P34/Q34)</f>
        <v/>
      </c>
      <c r="T34" s="164">
        <f>SUM(T35:T43)</f>
        <v>0</v>
      </c>
      <c r="U34" s="172" t="str">
        <f>IF(G34=0,"",P34/G34)</f>
        <v/>
      </c>
    </row>
    <row r="35" spans="1:21" hidden="1" outlineLevel="1" x14ac:dyDescent="0.2">
      <c r="C35" s="116" t="s">
        <v>289</v>
      </c>
      <c r="F35" s="156"/>
      <c r="G35" s="166"/>
      <c r="H35" s="261"/>
      <c r="I35" s="83"/>
      <c r="J35" s="83"/>
      <c r="K35" s="15"/>
      <c r="L35" s="167">
        <f>+H35</f>
        <v>0</v>
      </c>
      <c r="M35" s="148">
        <f t="shared" ref="M35:O36" si="19">IF(I35=0,0,I35-H35)</f>
        <v>0</v>
      </c>
      <c r="N35" s="148">
        <f t="shared" si="19"/>
        <v>0</v>
      </c>
      <c r="O35" s="148">
        <f t="shared" si="19"/>
        <v>0</v>
      </c>
      <c r="P35" s="150">
        <f>SUM(L35:O35)</f>
        <v>0</v>
      </c>
      <c r="Q35" s="151"/>
      <c r="R35" s="152">
        <f>P35-Q35</f>
        <v>0</v>
      </c>
      <c r="S35" s="173" t="str">
        <f>IF(Q35=0,"",P35/Q35)</f>
        <v/>
      </c>
      <c r="T35" s="154">
        <f>P35-G35</f>
        <v>0</v>
      </c>
      <c r="U35" s="170" t="str">
        <f>IF(G35=0,"",P35/G35)</f>
        <v/>
      </c>
    </row>
    <row r="36" spans="1:21" hidden="1" outlineLevel="1" x14ac:dyDescent="0.2">
      <c r="C36" s="116" t="s">
        <v>393</v>
      </c>
      <c r="F36" s="156"/>
      <c r="G36" s="166"/>
      <c r="H36" s="261"/>
      <c r="I36" s="83"/>
      <c r="J36" s="83"/>
      <c r="K36" s="15"/>
      <c r="L36" s="167">
        <f>+H36</f>
        <v>0</v>
      </c>
      <c r="M36" s="148">
        <f t="shared" si="19"/>
        <v>0</v>
      </c>
      <c r="N36" s="148">
        <f t="shared" si="19"/>
        <v>0</v>
      </c>
      <c r="O36" s="148">
        <f t="shared" si="19"/>
        <v>0</v>
      </c>
      <c r="P36" s="150">
        <f>SUM(L36:O36)</f>
        <v>0</v>
      </c>
      <c r="Q36" s="174"/>
      <c r="R36" s="152">
        <f>P36-Q36</f>
        <v>0</v>
      </c>
      <c r="S36" s="173" t="str">
        <f>IF(Q36=0,"",P36/Q36)</f>
        <v/>
      </c>
      <c r="T36" s="154">
        <f>P36-G36</f>
        <v>0</v>
      </c>
      <c r="U36" s="170" t="str">
        <f>IF(G36=0,"",P36/G36)</f>
        <v/>
      </c>
    </row>
    <row r="37" spans="1:21" hidden="1" outlineLevel="1" x14ac:dyDescent="0.2">
      <c r="C37" s="116" t="s">
        <v>284</v>
      </c>
      <c r="F37" s="156" t="s">
        <v>285</v>
      </c>
      <c r="G37" s="166"/>
      <c r="H37" s="261"/>
      <c r="I37" s="83"/>
      <c r="J37" s="83"/>
      <c r="K37" s="15"/>
      <c r="L37" s="167"/>
      <c r="M37" s="148"/>
      <c r="N37" s="148"/>
      <c r="O37" s="148"/>
      <c r="P37" s="150"/>
      <c r="Q37" s="151"/>
      <c r="R37" s="152"/>
      <c r="S37" s="173"/>
      <c r="T37" s="154"/>
      <c r="U37" s="170"/>
    </row>
    <row r="38" spans="1:21" hidden="1" outlineLevel="1" x14ac:dyDescent="0.2">
      <c r="C38" s="116" t="s">
        <v>382</v>
      </c>
      <c r="F38" s="156" t="s">
        <v>383</v>
      </c>
      <c r="G38" s="166"/>
      <c r="H38" s="261"/>
      <c r="I38" s="83"/>
      <c r="J38" s="83"/>
      <c r="K38" s="15"/>
      <c r="L38" s="167">
        <f>+H38</f>
        <v>0</v>
      </c>
      <c r="M38" s="148">
        <f>IF(I38=0,0,I38-H38)</f>
        <v>0</v>
      </c>
      <c r="N38" s="148">
        <f t="shared" ref="N38:O42" si="20">IF(J38=0,0,J38-I38)</f>
        <v>0</v>
      </c>
      <c r="O38" s="148">
        <f t="shared" si="20"/>
        <v>0</v>
      </c>
      <c r="P38" s="150">
        <f>SUM(L38:O38)</f>
        <v>0</v>
      </c>
      <c r="Q38" s="151"/>
      <c r="R38" s="152">
        <f t="shared" ref="R38:R43" si="21">P38-Q38</f>
        <v>0</v>
      </c>
      <c r="S38" s="173" t="str">
        <f t="shared" ref="S38:S43" si="22">IF(Q38=0,"",P38/Q38)</f>
        <v/>
      </c>
      <c r="T38" s="154">
        <f t="shared" ref="T38:T43" si="23">P38-G38</f>
        <v>0</v>
      </c>
      <c r="U38" s="170" t="str">
        <f t="shared" ref="U38:U43" si="24">IF(G38=0,"",P38/G38)</f>
        <v/>
      </c>
    </row>
    <row r="39" spans="1:21" hidden="1" outlineLevel="1" x14ac:dyDescent="0.2">
      <c r="C39" s="116" t="s">
        <v>394</v>
      </c>
      <c r="F39" s="156"/>
      <c r="G39" s="166"/>
      <c r="H39" s="261"/>
      <c r="I39" s="83"/>
      <c r="J39" s="83"/>
      <c r="K39" s="15"/>
      <c r="L39" s="167">
        <f>+H39</f>
        <v>0</v>
      </c>
      <c r="M39" s="148">
        <f>IF(I39=0,0,I39-H39)</f>
        <v>0</v>
      </c>
      <c r="N39" s="148">
        <f t="shared" si="20"/>
        <v>0</v>
      </c>
      <c r="O39" s="148">
        <f t="shared" si="20"/>
        <v>0</v>
      </c>
      <c r="P39" s="150">
        <f>SUM(L39:O39)</f>
        <v>0</v>
      </c>
      <c r="Q39" s="151"/>
      <c r="R39" s="152">
        <f t="shared" si="21"/>
        <v>0</v>
      </c>
      <c r="S39" s="173" t="str">
        <f t="shared" si="22"/>
        <v/>
      </c>
      <c r="T39" s="154">
        <f t="shared" si="23"/>
        <v>0</v>
      </c>
      <c r="U39" s="170" t="str">
        <f t="shared" si="24"/>
        <v/>
      </c>
    </row>
    <row r="40" spans="1:21" hidden="1" outlineLevel="1" x14ac:dyDescent="0.2">
      <c r="C40" s="116" t="s">
        <v>387</v>
      </c>
      <c r="F40" s="156">
        <v>5490</v>
      </c>
      <c r="G40" s="166"/>
      <c r="H40" s="83"/>
      <c r="I40" s="83"/>
      <c r="J40" s="83"/>
      <c r="K40" s="15"/>
      <c r="L40" s="167">
        <f>+H40</f>
        <v>0</v>
      </c>
      <c r="M40" s="148">
        <f>IF(I40=0,0,I40-H40)</f>
        <v>0</v>
      </c>
      <c r="N40" s="148">
        <f t="shared" si="20"/>
        <v>0</v>
      </c>
      <c r="O40" s="148">
        <f t="shared" si="20"/>
        <v>0</v>
      </c>
      <c r="P40" s="150">
        <f>SUM(L40:O40)</f>
        <v>0</v>
      </c>
      <c r="Q40" s="151"/>
      <c r="R40" s="152">
        <f t="shared" si="21"/>
        <v>0</v>
      </c>
      <c r="S40" s="173" t="str">
        <f t="shared" si="22"/>
        <v/>
      </c>
      <c r="T40" s="154">
        <f t="shared" si="23"/>
        <v>0</v>
      </c>
      <c r="U40" s="170" t="str">
        <f t="shared" si="24"/>
        <v/>
      </c>
    </row>
    <row r="41" spans="1:21" hidden="1" outlineLevel="1" x14ac:dyDescent="0.2">
      <c r="F41" s="156"/>
      <c r="G41" s="166"/>
      <c r="H41" s="83"/>
      <c r="I41" s="83"/>
      <c r="J41" s="83"/>
      <c r="K41" s="15"/>
      <c r="L41" s="167">
        <f>+H41</f>
        <v>0</v>
      </c>
      <c r="M41" s="148">
        <f>IF(I41=0,0,I41-H41)</f>
        <v>0</v>
      </c>
      <c r="N41" s="148">
        <f t="shared" si="20"/>
        <v>0</v>
      </c>
      <c r="O41" s="148">
        <f t="shared" si="20"/>
        <v>0</v>
      </c>
      <c r="P41" s="150">
        <f>SUM(L41:O41)</f>
        <v>0</v>
      </c>
      <c r="Q41" s="151"/>
      <c r="R41" s="152">
        <f t="shared" si="21"/>
        <v>0</v>
      </c>
      <c r="S41" s="173" t="str">
        <f t="shared" si="22"/>
        <v/>
      </c>
      <c r="T41" s="154">
        <f t="shared" si="23"/>
        <v>0</v>
      </c>
      <c r="U41" s="170" t="str">
        <f t="shared" si="24"/>
        <v/>
      </c>
    </row>
    <row r="42" spans="1:21" hidden="1" outlineLevel="1" x14ac:dyDescent="0.2">
      <c r="F42" s="156"/>
      <c r="G42" s="166"/>
      <c r="H42" s="83"/>
      <c r="I42" s="83"/>
      <c r="J42" s="83"/>
      <c r="K42" s="15"/>
      <c r="L42" s="167">
        <f>+H42</f>
        <v>0</v>
      </c>
      <c r="M42" s="148">
        <f>IF(I42=0,0,I42-H42)</f>
        <v>0</v>
      </c>
      <c r="N42" s="148">
        <f t="shared" si="20"/>
        <v>0</v>
      </c>
      <c r="O42" s="148">
        <f t="shared" si="20"/>
        <v>0</v>
      </c>
      <c r="P42" s="150">
        <f>SUM(L42:O42)</f>
        <v>0</v>
      </c>
      <c r="Q42" s="151"/>
      <c r="R42" s="152">
        <f t="shared" si="21"/>
        <v>0</v>
      </c>
      <c r="S42" s="173" t="str">
        <f t="shared" si="22"/>
        <v/>
      </c>
      <c r="T42" s="154">
        <f t="shared" si="23"/>
        <v>0</v>
      </c>
      <c r="U42" s="170" t="str">
        <f t="shared" si="24"/>
        <v/>
      </c>
    </row>
    <row r="43" spans="1:21" hidden="1" outlineLevel="1" x14ac:dyDescent="0.2">
      <c r="F43" s="156"/>
      <c r="G43" s="166"/>
      <c r="H43" s="83"/>
      <c r="I43" s="83"/>
      <c r="J43" s="83"/>
      <c r="K43" s="15"/>
      <c r="L43" s="167"/>
      <c r="M43" s="148"/>
      <c r="N43" s="148"/>
      <c r="O43" s="148"/>
      <c r="P43" s="150"/>
      <c r="Q43" s="151"/>
      <c r="R43" s="152">
        <f t="shared" si="21"/>
        <v>0</v>
      </c>
      <c r="S43" s="173" t="str">
        <f t="shared" si="22"/>
        <v/>
      </c>
      <c r="T43" s="154">
        <f t="shared" si="23"/>
        <v>0</v>
      </c>
      <c r="U43" s="170" t="str">
        <f t="shared" si="24"/>
        <v/>
      </c>
    </row>
    <row r="44" spans="1:21" hidden="1" outlineLevel="1" x14ac:dyDescent="0.2">
      <c r="F44" s="156"/>
      <c r="G44" s="166"/>
      <c r="H44" s="83"/>
      <c r="I44" s="83"/>
      <c r="J44" s="83"/>
      <c r="K44" s="15"/>
      <c r="L44" s="167"/>
      <c r="M44" s="148"/>
      <c r="N44" s="148"/>
      <c r="O44" s="148"/>
      <c r="P44" s="150"/>
      <c r="Q44" s="151"/>
      <c r="R44" s="152"/>
      <c r="S44" s="153"/>
      <c r="T44" s="154"/>
      <c r="U44" s="155"/>
    </row>
    <row r="45" spans="1:21" collapsed="1" x14ac:dyDescent="0.2">
      <c r="A45" s="118" t="s">
        <v>395</v>
      </c>
      <c r="F45" s="156"/>
      <c r="G45" s="175">
        <f>+G8+G20+G34</f>
        <v>72036</v>
      </c>
      <c r="H45" s="262">
        <f>+H8+H20+H34</f>
        <v>15110.08</v>
      </c>
      <c r="I45" s="86">
        <f t="shared" ref="I45:J45" si="25">+I8+I20+I34</f>
        <v>45169</v>
      </c>
      <c r="J45" s="262">
        <f t="shared" si="25"/>
        <v>62605</v>
      </c>
      <c r="K45" s="281">
        <f>+K8+K20+K34</f>
        <v>88169</v>
      </c>
      <c r="L45" s="177">
        <f t="shared" ref="L45:P45" si="26">+L8+L20+L34</f>
        <v>15110.08</v>
      </c>
      <c r="M45" s="176">
        <f t="shared" si="26"/>
        <v>30058.92</v>
      </c>
      <c r="N45" s="176">
        <f t="shared" si="26"/>
        <v>17436</v>
      </c>
      <c r="O45" s="176">
        <f t="shared" si="26"/>
        <v>25564</v>
      </c>
      <c r="P45" s="178">
        <f t="shared" si="26"/>
        <v>88169</v>
      </c>
      <c r="Q45" s="179">
        <f>+Q8+Q20+Q34</f>
        <v>71800</v>
      </c>
      <c r="R45" s="180">
        <f>R8+R20+R34</f>
        <v>16369</v>
      </c>
      <c r="S45" s="181">
        <f>IF(Q45=0,"",P45/Q45)</f>
        <v>1.2279805013927576</v>
      </c>
      <c r="T45" s="182">
        <f>T8+T20+T34</f>
        <v>16133</v>
      </c>
      <c r="U45" s="183">
        <f>IF(G45=0,"",P45/G45)</f>
        <v>1.2239574657115886</v>
      </c>
    </row>
    <row r="46" spans="1:21" x14ac:dyDescent="0.2">
      <c r="F46" s="156"/>
      <c r="G46" s="166"/>
      <c r="H46" s="83"/>
      <c r="I46" s="83"/>
      <c r="J46" s="83"/>
      <c r="K46" s="15"/>
      <c r="L46" s="167"/>
      <c r="M46" s="148"/>
      <c r="N46" s="148"/>
      <c r="O46" s="148"/>
      <c r="P46" s="150"/>
      <c r="Q46" s="151"/>
      <c r="R46" s="152"/>
      <c r="S46" s="153"/>
      <c r="T46" s="154"/>
      <c r="U46" s="155"/>
    </row>
    <row r="47" spans="1:21" x14ac:dyDescent="0.2">
      <c r="A47" s="118" t="s">
        <v>396</v>
      </c>
      <c r="F47" s="156"/>
      <c r="G47" s="166"/>
      <c r="H47" s="83"/>
      <c r="I47" s="83"/>
      <c r="J47" s="83"/>
      <c r="K47" s="15"/>
      <c r="L47" s="167">
        <f t="shared" ref="L47:L70" si="27">+H47</f>
        <v>0</v>
      </c>
      <c r="M47" s="148"/>
      <c r="N47" s="148"/>
      <c r="O47" s="148"/>
      <c r="P47" s="150"/>
      <c r="Q47" s="151"/>
      <c r="R47" s="152"/>
      <c r="S47" s="153"/>
      <c r="T47" s="154"/>
      <c r="U47" s="155"/>
    </row>
    <row r="48" spans="1:21" outlineLevel="1" x14ac:dyDescent="0.2">
      <c r="B48" s="116" t="s">
        <v>292</v>
      </c>
      <c r="F48" s="156"/>
      <c r="G48" s="166"/>
      <c r="H48" s="83"/>
      <c r="I48" s="83"/>
      <c r="J48" s="83"/>
      <c r="K48" s="15"/>
      <c r="L48" s="167">
        <f t="shared" si="27"/>
        <v>0</v>
      </c>
      <c r="M48" s="148">
        <f t="shared" ref="M48:M70" si="28">IF(I48=0,0,I48-H48)</f>
        <v>0</v>
      </c>
      <c r="N48" s="148">
        <f t="shared" ref="N48:O70" si="29">IF(J48=0,0,J48-I48)</f>
        <v>0</v>
      </c>
      <c r="O48" s="148">
        <f t="shared" si="29"/>
        <v>0</v>
      </c>
      <c r="P48" s="150">
        <f t="shared" ref="P48:P75" si="30">SUM(L48:O48)</f>
        <v>0</v>
      </c>
      <c r="Q48" s="151"/>
      <c r="R48" s="152">
        <f t="shared" ref="R48:R70" si="31">P48-Q48</f>
        <v>0</v>
      </c>
      <c r="S48" s="173" t="str">
        <f t="shared" ref="S48:S70" si="32">IF(Q48=0,"",P48/Q48)</f>
        <v/>
      </c>
      <c r="T48" s="154">
        <f t="shared" ref="T48:T70" si="33">P48-G48</f>
        <v>0</v>
      </c>
      <c r="U48" s="170" t="str">
        <f t="shared" ref="U48:U70" si="34">IF(G48=0,"",P48/G48)</f>
        <v/>
      </c>
    </row>
    <row r="49" spans="2:21" outlineLevel="1" x14ac:dyDescent="0.2">
      <c r="B49" s="116" t="s">
        <v>293</v>
      </c>
      <c r="F49" s="156" t="s">
        <v>294</v>
      </c>
      <c r="G49" s="166">
        <v>19227</v>
      </c>
      <c r="H49" s="83">
        <v>2924</v>
      </c>
      <c r="I49" s="83">
        <v>10335</v>
      </c>
      <c r="J49" s="83">
        <v>14153</v>
      </c>
      <c r="K49" s="15">
        <v>23573</v>
      </c>
      <c r="L49" s="167">
        <f t="shared" si="27"/>
        <v>2924</v>
      </c>
      <c r="M49" s="148">
        <f t="shared" si="28"/>
        <v>7411</v>
      </c>
      <c r="N49" s="148">
        <f t="shared" si="29"/>
        <v>3818</v>
      </c>
      <c r="O49" s="148">
        <f t="shared" si="29"/>
        <v>9420</v>
      </c>
      <c r="P49" s="150">
        <f t="shared" si="30"/>
        <v>23573</v>
      </c>
      <c r="Q49" s="151">
        <v>19800</v>
      </c>
      <c r="R49" s="152">
        <f t="shared" si="31"/>
        <v>3773</v>
      </c>
      <c r="S49" s="173">
        <f t="shared" si="32"/>
        <v>1.1905555555555556</v>
      </c>
      <c r="T49" s="154">
        <f t="shared" si="33"/>
        <v>4346</v>
      </c>
      <c r="U49" s="170">
        <f t="shared" si="34"/>
        <v>1.2260363031154107</v>
      </c>
    </row>
    <row r="50" spans="2:21" outlineLevel="1" x14ac:dyDescent="0.2">
      <c r="B50" s="116" t="s">
        <v>295</v>
      </c>
      <c r="F50" s="156"/>
      <c r="G50" s="166"/>
      <c r="H50" s="261"/>
      <c r="I50" s="83"/>
      <c r="J50" s="83"/>
      <c r="K50" s="15"/>
      <c r="L50" s="167">
        <f t="shared" si="27"/>
        <v>0</v>
      </c>
      <c r="M50" s="148">
        <f t="shared" si="28"/>
        <v>0</v>
      </c>
      <c r="N50" s="148">
        <f t="shared" si="29"/>
        <v>0</v>
      </c>
      <c r="O50" s="148">
        <f t="shared" si="29"/>
        <v>0</v>
      </c>
      <c r="P50" s="150">
        <f t="shared" si="30"/>
        <v>0</v>
      </c>
      <c r="Q50" s="151">
        <v>0</v>
      </c>
      <c r="R50" s="152">
        <f t="shared" si="31"/>
        <v>0</v>
      </c>
      <c r="S50" s="173" t="str">
        <f t="shared" si="32"/>
        <v/>
      </c>
      <c r="T50" s="154">
        <f t="shared" si="33"/>
        <v>0</v>
      </c>
      <c r="U50" s="170" t="str">
        <f t="shared" si="34"/>
        <v/>
      </c>
    </row>
    <row r="51" spans="2:21" outlineLevel="1" x14ac:dyDescent="0.2">
      <c r="B51" s="116" t="s">
        <v>296</v>
      </c>
      <c r="F51" s="156" t="s">
        <v>297</v>
      </c>
      <c r="G51" s="166">
        <v>768</v>
      </c>
      <c r="H51" s="261"/>
      <c r="I51" s="83">
        <v>1354</v>
      </c>
      <c r="J51" s="83">
        <v>2154</v>
      </c>
      <c r="K51" s="15">
        <v>2952</v>
      </c>
      <c r="L51" s="167">
        <f t="shared" si="27"/>
        <v>0</v>
      </c>
      <c r="M51" s="148">
        <f t="shared" si="28"/>
        <v>1354</v>
      </c>
      <c r="N51" s="148">
        <f t="shared" si="29"/>
        <v>800</v>
      </c>
      <c r="O51" s="148">
        <f t="shared" si="29"/>
        <v>798</v>
      </c>
      <c r="P51" s="150">
        <f t="shared" si="30"/>
        <v>2952</v>
      </c>
      <c r="Q51" s="151">
        <v>1000</v>
      </c>
      <c r="R51" s="152">
        <f t="shared" si="31"/>
        <v>1952</v>
      </c>
      <c r="S51" s="173">
        <f t="shared" si="32"/>
        <v>2.952</v>
      </c>
      <c r="T51" s="154">
        <f t="shared" si="33"/>
        <v>2184</v>
      </c>
      <c r="U51" s="170">
        <f t="shared" si="34"/>
        <v>3.84375</v>
      </c>
    </row>
    <row r="52" spans="2:21" outlineLevel="1" x14ac:dyDescent="0.2">
      <c r="B52" s="116" t="s">
        <v>298</v>
      </c>
      <c r="E52" s="184" t="s">
        <v>412</v>
      </c>
      <c r="F52" s="156"/>
      <c r="G52" s="166">
        <f>G149</f>
        <v>7636</v>
      </c>
      <c r="H52" s="261">
        <f>H149</f>
        <v>1403</v>
      </c>
      <c r="I52" s="83">
        <f>I149</f>
        <v>3089</v>
      </c>
      <c r="J52" s="83">
        <f>J149</f>
        <v>4810</v>
      </c>
      <c r="K52" s="15">
        <f>K149</f>
        <v>6655</v>
      </c>
      <c r="L52" s="167">
        <f t="shared" si="27"/>
        <v>1403</v>
      </c>
      <c r="M52" s="148">
        <f t="shared" si="28"/>
        <v>1686</v>
      </c>
      <c r="N52" s="148">
        <f t="shared" si="29"/>
        <v>1721</v>
      </c>
      <c r="O52" s="148">
        <f t="shared" si="29"/>
        <v>1845</v>
      </c>
      <c r="P52" s="150">
        <f t="shared" si="30"/>
        <v>6655</v>
      </c>
      <c r="Q52" s="151">
        <f>Q149</f>
        <v>7800</v>
      </c>
      <c r="R52" s="152">
        <f t="shared" si="31"/>
        <v>-1145</v>
      </c>
      <c r="S52" s="173">
        <f t="shared" si="32"/>
        <v>0.85320512820512817</v>
      </c>
      <c r="T52" s="154">
        <f t="shared" si="33"/>
        <v>-981</v>
      </c>
      <c r="U52" s="170">
        <f t="shared" si="34"/>
        <v>0.87152959664745944</v>
      </c>
    </row>
    <row r="53" spans="2:21" outlineLevel="1" x14ac:dyDescent="0.2">
      <c r="B53" s="116" t="s">
        <v>299</v>
      </c>
      <c r="E53" s="184" t="s">
        <v>412</v>
      </c>
      <c r="F53" s="156"/>
      <c r="G53" s="166">
        <f>G158</f>
        <v>5234</v>
      </c>
      <c r="H53" s="261">
        <f>H158</f>
        <v>1737</v>
      </c>
      <c r="I53" s="83">
        <f>I158</f>
        <v>3442</v>
      </c>
      <c r="J53" s="83">
        <f>J158</f>
        <v>4278</v>
      </c>
      <c r="K53" s="15">
        <f>K158</f>
        <v>6782</v>
      </c>
      <c r="L53" s="167">
        <f t="shared" si="27"/>
        <v>1737</v>
      </c>
      <c r="M53" s="148">
        <f t="shared" si="28"/>
        <v>1705</v>
      </c>
      <c r="N53" s="148">
        <f t="shared" si="29"/>
        <v>836</v>
      </c>
      <c r="O53" s="148">
        <f t="shared" si="29"/>
        <v>2504</v>
      </c>
      <c r="P53" s="150">
        <f t="shared" si="30"/>
        <v>6782</v>
      </c>
      <c r="Q53" s="151">
        <f>Q158</f>
        <v>5000</v>
      </c>
      <c r="R53" s="152">
        <f t="shared" si="31"/>
        <v>1782</v>
      </c>
      <c r="S53" s="173">
        <f t="shared" si="32"/>
        <v>1.3564000000000001</v>
      </c>
      <c r="T53" s="154">
        <f t="shared" si="33"/>
        <v>1548</v>
      </c>
      <c r="U53" s="170">
        <f t="shared" si="34"/>
        <v>1.2957585021016431</v>
      </c>
    </row>
    <row r="54" spans="2:21" outlineLevel="1" x14ac:dyDescent="0.2">
      <c r="B54" s="116" t="s">
        <v>300</v>
      </c>
      <c r="E54" s="184" t="s">
        <v>412</v>
      </c>
      <c r="F54" s="156"/>
      <c r="G54" s="166">
        <f>G140</f>
        <v>5446</v>
      </c>
      <c r="H54" s="261">
        <f>H140</f>
        <v>0</v>
      </c>
      <c r="I54" s="83">
        <f>I140</f>
        <v>5335</v>
      </c>
      <c r="J54" s="83">
        <f>J140</f>
        <v>5335</v>
      </c>
      <c r="K54" s="15">
        <f>K140</f>
        <v>5335</v>
      </c>
      <c r="L54" s="167">
        <f t="shared" si="27"/>
        <v>0</v>
      </c>
      <c r="M54" s="148">
        <f t="shared" si="28"/>
        <v>5335</v>
      </c>
      <c r="N54" s="148">
        <f t="shared" si="29"/>
        <v>0</v>
      </c>
      <c r="O54" s="148">
        <f t="shared" si="29"/>
        <v>0</v>
      </c>
      <c r="P54" s="150">
        <f t="shared" si="30"/>
        <v>5335</v>
      </c>
      <c r="Q54" s="151">
        <f>Q140</f>
        <v>5500</v>
      </c>
      <c r="R54" s="152">
        <f t="shared" si="31"/>
        <v>-165</v>
      </c>
      <c r="S54" s="173">
        <f t="shared" si="32"/>
        <v>0.97</v>
      </c>
      <c r="T54" s="154">
        <f t="shared" si="33"/>
        <v>-111</v>
      </c>
      <c r="U54" s="170">
        <f t="shared" si="34"/>
        <v>0.97961806830701437</v>
      </c>
    </row>
    <row r="55" spans="2:21" outlineLevel="1" x14ac:dyDescent="0.2">
      <c r="B55" s="116" t="s">
        <v>301</v>
      </c>
      <c r="F55" s="156"/>
      <c r="G55" s="166"/>
      <c r="H55" s="261"/>
      <c r="I55" s="83"/>
      <c r="J55" s="83"/>
      <c r="K55" s="15"/>
      <c r="L55" s="167">
        <f t="shared" si="27"/>
        <v>0</v>
      </c>
      <c r="M55" s="148">
        <f t="shared" si="28"/>
        <v>0</v>
      </c>
      <c r="N55" s="148">
        <f t="shared" si="29"/>
        <v>0</v>
      </c>
      <c r="O55" s="148">
        <f t="shared" si="29"/>
        <v>0</v>
      </c>
      <c r="P55" s="150">
        <f t="shared" si="30"/>
        <v>0</v>
      </c>
      <c r="Q55" s="151">
        <v>800</v>
      </c>
      <c r="R55" s="152">
        <f t="shared" si="31"/>
        <v>-800</v>
      </c>
      <c r="S55" s="173">
        <f t="shared" si="32"/>
        <v>0</v>
      </c>
      <c r="T55" s="154">
        <f t="shared" si="33"/>
        <v>0</v>
      </c>
      <c r="U55" s="170" t="str">
        <f t="shared" si="34"/>
        <v/>
      </c>
    </row>
    <row r="56" spans="2:21" outlineLevel="1" x14ac:dyDescent="0.2">
      <c r="B56" s="116" t="s">
        <v>152</v>
      </c>
      <c r="F56" s="156">
        <v>8222</v>
      </c>
      <c r="G56" s="166">
        <v>1864</v>
      </c>
      <c r="H56" s="261">
        <v>415</v>
      </c>
      <c r="I56" s="83">
        <v>907</v>
      </c>
      <c r="J56" s="83">
        <v>1368</v>
      </c>
      <c r="K56" s="15">
        <v>1621</v>
      </c>
      <c r="L56" s="167">
        <f t="shared" si="27"/>
        <v>415</v>
      </c>
      <c r="M56" s="148">
        <f t="shared" si="28"/>
        <v>492</v>
      </c>
      <c r="N56" s="148">
        <f t="shared" si="29"/>
        <v>461</v>
      </c>
      <c r="O56" s="148">
        <f t="shared" si="29"/>
        <v>253</v>
      </c>
      <c r="P56" s="150">
        <f t="shared" si="30"/>
        <v>1621</v>
      </c>
      <c r="Q56" s="151">
        <v>2000</v>
      </c>
      <c r="R56" s="152">
        <f t="shared" si="31"/>
        <v>-379</v>
      </c>
      <c r="S56" s="173">
        <f t="shared" si="32"/>
        <v>0.8105</v>
      </c>
      <c r="T56" s="154">
        <f t="shared" si="33"/>
        <v>-243</v>
      </c>
      <c r="U56" s="170">
        <f t="shared" si="34"/>
        <v>0.86963519313304716</v>
      </c>
    </row>
    <row r="57" spans="2:21" outlineLevel="1" x14ac:dyDescent="0.2">
      <c r="B57" s="116" t="s">
        <v>153</v>
      </c>
      <c r="F57" s="156">
        <v>8224</v>
      </c>
      <c r="G57" s="166">
        <v>71</v>
      </c>
      <c r="H57" s="261"/>
      <c r="I57" s="83"/>
      <c r="J57" s="83"/>
      <c r="K57" s="15"/>
      <c r="L57" s="167">
        <f t="shared" si="27"/>
        <v>0</v>
      </c>
      <c r="M57" s="148">
        <f t="shared" si="28"/>
        <v>0</v>
      </c>
      <c r="N57" s="148">
        <f t="shared" si="29"/>
        <v>0</v>
      </c>
      <c r="O57" s="148">
        <f t="shared" si="29"/>
        <v>0</v>
      </c>
      <c r="P57" s="150">
        <f t="shared" si="30"/>
        <v>0</v>
      </c>
      <c r="Q57" s="151">
        <v>100</v>
      </c>
      <c r="R57" s="152">
        <f t="shared" si="31"/>
        <v>-100</v>
      </c>
      <c r="S57" s="173">
        <f t="shared" si="32"/>
        <v>0</v>
      </c>
      <c r="T57" s="154">
        <f t="shared" si="33"/>
        <v>-71</v>
      </c>
      <c r="U57" s="170">
        <f t="shared" si="34"/>
        <v>0</v>
      </c>
    </row>
    <row r="58" spans="2:21" outlineLevel="1" x14ac:dyDescent="0.2">
      <c r="B58" s="116" t="s">
        <v>154</v>
      </c>
      <c r="F58" s="156">
        <v>8116</v>
      </c>
      <c r="G58" s="166">
        <f>3141+845+1045</f>
        <v>5031</v>
      </c>
      <c r="H58" s="261">
        <f>280+1022</f>
        <v>1302</v>
      </c>
      <c r="I58" s="83">
        <f>932+1023</f>
        <v>1955</v>
      </c>
      <c r="J58" s="83">
        <f>2698+1022</f>
        <v>3720</v>
      </c>
      <c r="K58" s="16">
        <f>2731+1023</f>
        <v>3754</v>
      </c>
      <c r="L58" s="167">
        <f t="shared" si="27"/>
        <v>1302</v>
      </c>
      <c r="M58" s="148">
        <f t="shared" si="28"/>
        <v>653</v>
      </c>
      <c r="N58" s="148">
        <f t="shared" si="29"/>
        <v>1765</v>
      </c>
      <c r="O58" s="148">
        <f t="shared" si="29"/>
        <v>34</v>
      </c>
      <c r="P58" s="150">
        <f t="shared" si="30"/>
        <v>3754</v>
      </c>
      <c r="Q58" s="151">
        <v>4000</v>
      </c>
      <c r="R58" s="152">
        <f t="shared" si="31"/>
        <v>-246</v>
      </c>
      <c r="S58" s="173">
        <f t="shared" si="32"/>
        <v>0.9385</v>
      </c>
      <c r="T58" s="154">
        <f t="shared" si="33"/>
        <v>-1277</v>
      </c>
      <c r="U58" s="170">
        <f t="shared" si="34"/>
        <v>0.74617372291790895</v>
      </c>
    </row>
    <row r="59" spans="2:21" outlineLevel="1" x14ac:dyDescent="0.2">
      <c r="B59" s="116" t="s">
        <v>155</v>
      </c>
      <c r="F59" s="156">
        <v>8540</v>
      </c>
      <c r="G59" s="166">
        <v>771</v>
      </c>
      <c r="H59" s="261"/>
      <c r="I59" s="83"/>
      <c r="J59" s="83"/>
      <c r="K59" s="15"/>
      <c r="L59" s="167">
        <f t="shared" si="27"/>
        <v>0</v>
      </c>
      <c r="M59" s="148">
        <f t="shared" si="28"/>
        <v>0</v>
      </c>
      <c r="N59" s="148">
        <f t="shared" si="29"/>
        <v>0</v>
      </c>
      <c r="O59" s="148">
        <f t="shared" si="29"/>
        <v>0</v>
      </c>
      <c r="P59" s="150">
        <f t="shared" si="30"/>
        <v>0</v>
      </c>
      <c r="Q59" s="151">
        <v>500</v>
      </c>
      <c r="R59" s="152">
        <f t="shared" si="31"/>
        <v>-500</v>
      </c>
      <c r="S59" s="173">
        <f t="shared" si="32"/>
        <v>0</v>
      </c>
      <c r="T59" s="154">
        <f t="shared" si="33"/>
        <v>-771</v>
      </c>
      <c r="U59" s="170">
        <f t="shared" si="34"/>
        <v>0</v>
      </c>
    </row>
    <row r="60" spans="2:21" outlineLevel="1" x14ac:dyDescent="0.2">
      <c r="B60" s="116" t="s">
        <v>156</v>
      </c>
      <c r="F60" s="156">
        <v>8117</v>
      </c>
      <c r="G60" s="166">
        <v>813</v>
      </c>
      <c r="H60" s="261"/>
      <c r="I60" s="83"/>
      <c r="J60" s="83">
        <v>537</v>
      </c>
      <c r="K60" s="15">
        <v>537</v>
      </c>
      <c r="L60" s="167">
        <f t="shared" si="27"/>
        <v>0</v>
      </c>
      <c r="M60" s="148">
        <f t="shared" si="28"/>
        <v>0</v>
      </c>
      <c r="N60" s="148">
        <f t="shared" si="29"/>
        <v>537</v>
      </c>
      <c r="O60" s="148">
        <f t="shared" si="29"/>
        <v>0</v>
      </c>
      <c r="P60" s="150">
        <f t="shared" si="30"/>
        <v>537</v>
      </c>
      <c r="Q60" s="151">
        <v>800</v>
      </c>
      <c r="R60" s="152">
        <f t="shared" si="31"/>
        <v>-263</v>
      </c>
      <c r="S60" s="173">
        <f t="shared" si="32"/>
        <v>0.67125000000000001</v>
      </c>
      <c r="T60" s="154">
        <f t="shared" si="33"/>
        <v>-276</v>
      </c>
      <c r="U60" s="170">
        <f t="shared" si="34"/>
        <v>0.66051660516605171</v>
      </c>
    </row>
    <row r="61" spans="2:21" outlineLevel="1" x14ac:dyDescent="0.2">
      <c r="B61" s="116" t="s">
        <v>157</v>
      </c>
      <c r="F61" s="156" t="s">
        <v>158</v>
      </c>
      <c r="G61" s="166"/>
      <c r="H61" s="261"/>
      <c r="I61" s="83"/>
      <c r="J61" s="83"/>
      <c r="K61" s="15"/>
      <c r="L61" s="167">
        <f t="shared" si="27"/>
        <v>0</v>
      </c>
      <c r="M61" s="148">
        <f t="shared" si="28"/>
        <v>0</v>
      </c>
      <c r="N61" s="148">
        <f t="shared" si="29"/>
        <v>0</v>
      </c>
      <c r="O61" s="148">
        <f t="shared" si="29"/>
        <v>0</v>
      </c>
      <c r="P61" s="150">
        <f t="shared" si="30"/>
        <v>0</v>
      </c>
      <c r="Q61" s="151"/>
      <c r="R61" s="152">
        <f t="shared" si="31"/>
        <v>0</v>
      </c>
      <c r="S61" s="173" t="str">
        <f t="shared" si="32"/>
        <v/>
      </c>
      <c r="T61" s="154">
        <f t="shared" si="33"/>
        <v>0</v>
      </c>
      <c r="U61" s="170" t="str">
        <f t="shared" si="34"/>
        <v/>
      </c>
    </row>
    <row r="62" spans="2:21" outlineLevel="1" x14ac:dyDescent="0.2">
      <c r="B62" s="116" t="s">
        <v>159</v>
      </c>
      <c r="F62" s="156">
        <v>8231</v>
      </c>
      <c r="G62" s="166">
        <v>1055</v>
      </c>
      <c r="H62" s="261"/>
      <c r="I62" s="83"/>
      <c r="J62" s="83">
        <v>1063</v>
      </c>
      <c r="K62" s="15">
        <v>1063</v>
      </c>
      <c r="L62" s="167">
        <f t="shared" si="27"/>
        <v>0</v>
      </c>
      <c r="M62" s="148">
        <f t="shared" si="28"/>
        <v>0</v>
      </c>
      <c r="N62" s="148">
        <f t="shared" si="29"/>
        <v>1063</v>
      </c>
      <c r="O62" s="148">
        <f t="shared" si="29"/>
        <v>0</v>
      </c>
      <c r="P62" s="150">
        <f t="shared" si="30"/>
        <v>1063</v>
      </c>
      <c r="Q62" s="151">
        <v>1100</v>
      </c>
      <c r="R62" s="152">
        <f t="shared" si="31"/>
        <v>-37</v>
      </c>
      <c r="S62" s="173">
        <f t="shared" si="32"/>
        <v>0.96636363636363631</v>
      </c>
      <c r="T62" s="154">
        <f t="shared" si="33"/>
        <v>8</v>
      </c>
      <c r="U62" s="170">
        <f t="shared" si="34"/>
        <v>1.0075829383886257</v>
      </c>
    </row>
    <row r="63" spans="2:21" outlineLevel="1" x14ac:dyDescent="0.2">
      <c r="B63" s="116" t="s">
        <v>160</v>
      </c>
      <c r="F63" s="156"/>
      <c r="G63" s="166"/>
      <c r="H63" s="261"/>
      <c r="I63" s="83"/>
      <c r="J63" s="83"/>
      <c r="K63" s="15"/>
      <c r="L63" s="167">
        <f t="shared" si="27"/>
        <v>0</v>
      </c>
      <c r="M63" s="148">
        <f t="shared" si="28"/>
        <v>0</v>
      </c>
      <c r="N63" s="148">
        <f t="shared" si="29"/>
        <v>0</v>
      </c>
      <c r="O63" s="148">
        <f t="shared" ref="O63:O75" si="35">IF(K63=0,0,K63-J63)</f>
        <v>0</v>
      </c>
      <c r="P63" s="150">
        <f t="shared" si="30"/>
        <v>0</v>
      </c>
      <c r="Q63" s="151"/>
      <c r="R63" s="152">
        <f t="shared" si="31"/>
        <v>0</v>
      </c>
      <c r="S63" s="173" t="str">
        <f t="shared" si="32"/>
        <v/>
      </c>
      <c r="T63" s="154">
        <f t="shared" si="33"/>
        <v>0</v>
      </c>
      <c r="U63" s="170" t="str">
        <f t="shared" si="34"/>
        <v/>
      </c>
    </row>
    <row r="64" spans="2:21" outlineLevel="1" x14ac:dyDescent="0.2">
      <c r="B64" s="116" t="s">
        <v>161</v>
      </c>
      <c r="F64" s="156"/>
      <c r="G64" s="166"/>
      <c r="H64" s="261"/>
      <c r="I64" s="83">
        <v>294</v>
      </c>
      <c r="J64" s="83">
        <v>294</v>
      </c>
      <c r="K64" s="15">
        <v>294</v>
      </c>
      <c r="L64" s="167">
        <f t="shared" si="27"/>
        <v>0</v>
      </c>
      <c r="M64" s="148">
        <f t="shared" si="28"/>
        <v>294</v>
      </c>
      <c r="N64" s="148">
        <f t="shared" si="29"/>
        <v>0</v>
      </c>
      <c r="O64" s="148">
        <f t="shared" si="35"/>
        <v>0</v>
      </c>
      <c r="P64" s="150">
        <f t="shared" si="30"/>
        <v>294</v>
      </c>
      <c r="Q64" s="151"/>
      <c r="R64" s="152">
        <f t="shared" si="31"/>
        <v>294</v>
      </c>
      <c r="S64" s="173" t="str">
        <f t="shared" si="32"/>
        <v/>
      </c>
      <c r="T64" s="154">
        <f t="shared" si="33"/>
        <v>294</v>
      </c>
      <c r="U64" s="170" t="str">
        <f t="shared" si="34"/>
        <v/>
      </c>
    </row>
    <row r="65" spans="1:21" outlineLevel="1" x14ac:dyDescent="0.2">
      <c r="B65" s="116" t="s">
        <v>162</v>
      </c>
      <c r="F65" s="156">
        <v>8232</v>
      </c>
      <c r="G65" s="166">
        <v>2453</v>
      </c>
      <c r="H65" s="261"/>
      <c r="I65" s="83"/>
      <c r="J65" s="83"/>
      <c r="K65" s="15"/>
      <c r="L65" s="167">
        <f t="shared" si="27"/>
        <v>0</v>
      </c>
      <c r="M65" s="148">
        <f t="shared" si="28"/>
        <v>0</v>
      </c>
      <c r="N65" s="148">
        <f t="shared" si="29"/>
        <v>0</v>
      </c>
      <c r="O65" s="148">
        <f t="shared" si="35"/>
        <v>0</v>
      </c>
      <c r="P65" s="150">
        <f t="shared" si="30"/>
        <v>0</v>
      </c>
      <c r="Q65" s="151">
        <v>2500</v>
      </c>
      <c r="R65" s="152">
        <f t="shared" si="31"/>
        <v>-2500</v>
      </c>
      <c r="S65" s="173">
        <f t="shared" si="32"/>
        <v>0</v>
      </c>
      <c r="T65" s="154">
        <f t="shared" si="33"/>
        <v>-2453</v>
      </c>
      <c r="U65" s="170">
        <f t="shared" si="34"/>
        <v>0</v>
      </c>
    </row>
    <row r="66" spans="1:21" outlineLevel="1" x14ac:dyDescent="0.2">
      <c r="B66" s="116" t="s">
        <v>163</v>
      </c>
      <c r="F66" s="156"/>
      <c r="G66" s="166"/>
      <c r="H66" s="261"/>
      <c r="I66" s="83"/>
      <c r="J66" s="83"/>
      <c r="K66" s="15"/>
      <c r="L66" s="167">
        <f t="shared" si="27"/>
        <v>0</v>
      </c>
      <c r="M66" s="148">
        <f t="shared" si="28"/>
        <v>0</v>
      </c>
      <c r="N66" s="148">
        <f t="shared" si="29"/>
        <v>0</v>
      </c>
      <c r="O66" s="148">
        <f t="shared" si="35"/>
        <v>0</v>
      </c>
      <c r="P66" s="150">
        <f t="shared" si="30"/>
        <v>0</v>
      </c>
      <c r="Q66" s="151"/>
      <c r="R66" s="152">
        <f t="shared" si="31"/>
        <v>0</v>
      </c>
      <c r="S66" s="173" t="str">
        <f t="shared" si="32"/>
        <v/>
      </c>
      <c r="T66" s="154">
        <f t="shared" si="33"/>
        <v>0</v>
      </c>
      <c r="U66" s="170" t="str">
        <f t="shared" si="34"/>
        <v/>
      </c>
    </row>
    <row r="67" spans="1:21" outlineLevel="1" x14ac:dyDescent="0.2">
      <c r="B67" s="116" t="s">
        <v>164</v>
      </c>
      <c r="F67" s="156"/>
      <c r="G67" s="166">
        <v>60</v>
      </c>
      <c r="H67" s="261"/>
      <c r="I67" s="83"/>
      <c r="J67" s="83"/>
      <c r="K67" s="15"/>
      <c r="L67" s="167">
        <f t="shared" si="27"/>
        <v>0</v>
      </c>
      <c r="M67" s="148">
        <f t="shared" si="28"/>
        <v>0</v>
      </c>
      <c r="N67" s="148">
        <f t="shared" si="29"/>
        <v>0</v>
      </c>
      <c r="O67" s="148">
        <f t="shared" si="35"/>
        <v>0</v>
      </c>
      <c r="P67" s="150">
        <f t="shared" si="30"/>
        <v>0</v>
      </c>
      <c r="Q67" s="151"/>
      <c r="R67" s="152">
        <f t="shared" si="31"/>
        <v>0</v>
      </c>
      <c r="S67" s="173" t="str">
        <f t="shared" si="32"/>
        <v/>
      </c>
      <c r="T67" s="154">
        <f t="shared" si="33"/>
        <v>-60</v>
      </c>
      <c r="U67" s="170">
        <f t="shared" si="34"/>
        <v>0</v>
      </c>
    </row>
    <row r="68" spans="1:21" outlineLevel="1" x14ac:dyDescent="0.2">
      <c r="B68" s="116" t="s">
        <v>165</v>
      </c>
      <c r="E68" s="184" t="s">
        <v>412</v>
      </c>
      <c r="F68" s="156"/>
      <c r="G68" s="166">
        <f>G167</f>
        <v>633</v>
      </c>
      <c r="H68" s="261">
        <f>H167</f>
        <v>48.55</v>
      </c>
      <c r="I68" s="83">
        <f>I167</f>
        <v>305</v>
      </c>
      <c r="J68" s="83">
        <f>J167</f>
        <v>391</v>
      </c>
      <c r="K68" s="15">
        <f>K167</f>
        <v>430</v>
      </c>
      <c r="L68" s="167">
        <f t="shared" si="27"/>
        <v>48.55</v>
      </c>
      <c r="M68" s="148">
        <f t="shared" si="28"/>
        <v>256.45</v>
      </c>
      <c r="N68" s="148">
        <f t="shared" si="29"/>
        <v>86</v>
      </c>
      <c r="O68" s="148">
        <f t="shared" si="35"/>
        <v>39</v>
      </c>
      <c r="P68" s="150">
        <f t="shared" si="30"/>
        <v>430</v>
      </c>
      <c r="Q68" s="151">
        <f>Q167</f>
        <v>650</v>
      </c>
      <c r="R68" s="152">
        <f t="shared" si="31"/>
        <v>-220</v>
      </c>
      <c r="S68" s="173">
        <f t="shared" si="32"/>
        <v>0.66153846153846152</v>
      </c>
      <c r="T68" s="154">
        <f t="shared" si="33"/>
        <v>-203</v>
      </c>
      <c r="U68" s="170">
        <f t="shared" si="34"/>
        <v>0.67930489731437593</v>
      </c>
    </row>
    <row r="69" spans="1:21" outlineLevel="1" x14ac:dyDescent="0.2">
      <c r="B69" s="116" t="s">
        <v>166</v>
      </c>
      <c r="F69" s="156"/>
      <c r="G69" s="166"/>
      <c r="H69" s="261"/>
      <c r="I69" s="83"/>
      <c r="J69" s="83"/>
      <c r="K69" s="15"/>
      <c r="L69" s="167">
        <f t="shared" si="27"/>
        <v>0</v>
      </c>
      <c r="M69" s="148">
        <f t="shared" si="28"/>
        <v>0</v>
      </c>
      <c r="N69" s="148">
        <f t="shared" si="29"/>
        <v>0</v>
      </c>
      <c r="O69" s="148">
        <f t="shared" si="35"/>
        <v>0</v>
      </c>
      <c r="P69" s="150">
        <f t="shared" si="30"/>
        <v>0</v>
      </c>
      <c r="Q69" s="151"/>
      <c r="R69" s="152">
        <f t="shared" si="31"/>
        <v>0</v>
      </c>
      <c r="S69" s="173" t="str">
        <f t="shared" si="32"/>
        <v/>
      </c>
      <c r="T69" s="154">
        <f t="shared" si="33"/>
        <v>0</v>
      </c>
      <c r="U69" s="170" t="str">
        <f t="shared" si="34"/>
        <v/>
      </c>
    </row>
    <row r="70" spans="1:21" outlineLevel="1" x14ac:dyDescent="0.2">
      <c r="B70" s="116" t="s">
        <v>167</v>
      </c>
      <c r="F70" s="156"/>
      <c r="G70" s="166"/>
      <c r="H70" s="261"/>
      <c r="I70" s="83"/>
      <c r="J70" s="83"/>
      <c r="K70" s="15"/>
      <c r="L70" s="167">
        <f t="shared" si="27"/>
        <v>0</v>
      </c>
      <c r="M70" s="148">
        <f t="shared" si="28"/>
        <v>0</v>
      </c>
      <c r="N70" s="148">
        <f t="shared" si="29"/>
        <v>0</v>
      </c>
      <c r="O70" s="148">
        <f t="shared" si="35"/>
        <v>0</v>
      </c>
      <c r="P70" s="150">
        <f t="shared" si="30"/>
        <v>0</v>
      </c>
      <c r="Q70" s="151"/>
      <c r="R70" s="152">
        <f t="shared" si="31"/>
        <v>0</v>
      </c>
      <c r="S70" s="173" t="str">
        <f t="shared" si="32"/>
        <v/>
      </c>
      <c r="T70" s="154">
        <f t="shared" si="33"/>
        <v>0</v>
      </c>
      <c r="U70" s="170" t="str">
        <f t="shared" si="34"/>
        <v/>
      </c>
    </row>
    <row r="71" spans="1:21" outlineLevel="1" x14ac:dyDescent="0.2">
      <c r="F71" s="156"/>
      <c r="G71" s="166"/>
      <c r="H71" s="261"/>
      <c r="I71" s="83"/>
      <c r="J71" s="83"/>
      <c r="K71" s="15"/>
      <c r="L71" s="167"/>
      <c r="M71" s="148"/>
      <c r="N71" s="148"/>
      <c r="O71" s="148">
        <f t="shared" si="35"/>
        <v>0</v>
      </c>
      <c r="P71" s="150">
        <f t="shared" si="30"/>
        <v>0</v>
      </c>
      <c r="Q71" s="151"/>
      <c r="R71" s="152"/>
      <c r="S71" s="173"/>
      <c r="T71" s="154"/>
      <c r="U71" s="170"/>
    </row>
    <row r="72" spans="1:21" outlineLevel="1" x14ac:dyDescent="0.2">
      <c r="B72" s="116" t="s">
        <v>168</v>
      </c>
      <c r="F72" s="156" t="s">
        <v>169</v>
      </c>
      <c r="G72" s="166">
        <v>927</v>
      </c>
      <c r="H72" s="87">
        <f>77+60</f>
        <v>137</v>
      </c>
      <c r="I72" s="83">
        <f>77+60</f>
        <v>137</v>
      </c>
      <c r="J72" s="83">
        <f>77+60</f>
        <v>137</v>
      </c>
      <c r="K72" s="16">
        <v>136</v>
      </c>
      <c r="L72" s="167">
        <f>+H72</f>
        <v>137</v>
      </c>
      <c r="M72" s="148">
        <f t="shared" ref="M72:N74" si="36">IF(I72=0,0,I72-H72)</f>
        <v>0</v>
      </c>
      <c r="N72" s="148">
        <f t="shared" si="36"/>
        <v>0</v>
      </c>
      <c r="O72" s="148">
        <f t="shared" si="35"/>
        <v>-1</v>
      </c>
      <c r="P72" s="150">
        <f t="shared" si="30"/>
        <v>136</v>
      </c>
      <c r="Q72" s="151">
        <v>1000</v>
      </c>
      <c r="R72" s="152">
        <f>P72-Q72</f>
        <v>-864</v>
      </c>
      <c r="S72" s="173">
        <f>IF(Q72=0,"",P72/Q72)</f>
        <v>0.13600000000000001</v>
      </c>
      <c r="T72" s="154">
        <f>P72-G72</f>
        <v>-791</v>
      </c>
      <c r="U72" s="170">
        <f>IF(G72=0,"",P72/G72)</f>
        <v>0.14670981661272922</v>
      </c>
    </row>
    <row r="73" spans="1:21" outlineLevel="1" x14ac:dyDescent="0.2">
      <c r="F73" s="156"/>
      <c r="G73" s="166"/>
      <c r="H73" s="261"/>
      <c r="I73" s="83"/>
      <c r="J73" s="83"/>
      <c r="K73" s="15"/>
      <c r="L73" s="167">
        <f>+H73</f>
        <v>0</v>
      </c>
      <c r="M73" s="148">
        <f t="shared" si="36"/>
        <v>0</v>
      </c>
      <c r="N73" s="148">
        <f t="shared" si="36"/>
        <v>0</v>
      </c>
      <c r="O73" s="148">
        <f t="shared" si="35"/>
        <v>0</v>
      </c>
      <c r="P73" s="150">
        <f t="shared" si="30"/>
        <v>0</v>
      </c>
      <c r="Q73" s="151"/>
      <c r="R73" s="152">
        <f>P73-Q73</f>
        <v>0</v>
      </c>
      <c r="S73" s="173" t="str">
        <f>IF(Q73=0,"",P73/Q73)</f>
        <v/>
      </c>
      <c r="T73" s="154">
        <f>P73-G73</f>
        <v>0</v>
      </c>
      <c r="U73" s="170" t="str">
        <f>IF(G73=0,"",P73/G73)</f>
        <v/>
      </c>
    </row>
    <row r="74" spans="1:21" outlineLevel="1" x14ac:dyDescent="0.2">
      <c r="F74" s="156"/>
      <c r="G74" s="166"/>
      <c r="H74" s="261"/>
      <c r="I74" s="83"/>
      <c r="J74" s="83"/>
      <c r="K74" s="15"/>
      <c r="L74" s="167">
        <f>+H74</f>
        <v>0</v>
      </c>
      <c r="M74" s="148">
        <f t="shared" si="36"/>
        <v>0</v>
      </c>
      <c r="N74" s="148">
        <f t="shared" si="36"/>
        <v>0</v>
      </c>
      <c r="O74" s="148">
        <f t="shared" si="35"/>
        <v>0</v>
      </c>
      <c r="P74" s="150">
        <f t="shared" si="30"/>
        <v>0</v>
      </c>
      <c r="Q74" s="151"/>
      <c r="R74" s="152">
        <f>P74-Q74</f>
        <v>0</v>
      </c>
      <c r="S74" s="173" t="str">
        <f>IF(Q74=0,"",P74/Q74)</f>
        <v/>
      </c>
      <c r="T74" s="154">
        <f>P74-G74</f>
        <v>0</v>
      </c>
      <c r="U74" s="170" t="str">
        <f>IF(G74=0,"",P74/G74)</f>
        <v/>
      </c>
    </row>
    <row r="75" spans="1:21" outlineLevel="1" x14ac:dyDescent="0.2">
      <c r="F75" s="156"/>
      <c r="G75" s="166"/>
      <c r="H75" s="261"/>
      <c r="I75" s="83"/>
      <c r="J75" s="83"/>
      <c r="K75" s="15"/>
      <c r="L75" s="167"/>
      <c r="M75" s="148"/>
      <c r="N75" s="148"/>
      <c r="O75" s="148">
        <f t="shared" si="35"/>
        <v>0</v>
      </c>
      <c r="P75" s="150">
        <f t="shared" si="30"/>
        <v>0</v>
      </c>
      <c r="Q75" s="151"/>
      <c r="R75" s="152"/>
      <c r="S75" s="173" t="str">
        <f>IF(Q75=0,"",P75/Q75)</f>
        <v/>
      </c>
      <c r="T75" s="154"/>
      <c r="U75" s="170" t="str">
        <f>IF(G75=0,"",P75/G75)</f>
        <v/>
      </c>
    </row>
    <row r="76" spans="1:21" x14ac:dyDescent="0.2">
      <c r="A76" s="118" t="s">
        <v>45</v>
      </c>
      <c r="F76" s="156"/>
      <c r="G76" s="175">
        <f>SUM(G48:G75)</f>
        <v>51989</v>
      </c>
      <c r="H76" s="262">
        <f>SUM(H48:H75)</f>
        <v>7966.55</v>
      </c>
      <c r="I76" s="86">
        <f>SUM(I48:I75)</f>
        <v>27153</v>
      </c>
      <c r="J76" s="262">
        <f>SUM(J48:J75)</f>
        <v>38240</v>
      </c>
      <c r="K76" s="281">
        <f>SUM(K48:K75)</f>
        <v>53132</v>
      </c>
      <c r="L76" s="177">
        <f t="shared" ref="L76:R76" si="37">SUM(L48:L75)</f>
        <v>7966.55</v>
      </c>
      <c r="M76" s="176">
        <f t="shared" si="37"/>
        <v>19186.45</v>
      </c>
      <c r="N76" s="176">
        <f t="shared" si="37"/>
        <v>11087</v>
      </c>
      <c r="O76" s="176">
        <f t="shared" si="37"/>
        <v>14892</v>
      </c>
      <c r="P76" s="178">
        <f t="shared" si="37"/>
        <v>53132</v>
      </c>
      <c r="Q76" s="179">
        <f t="shared" si="37"/>
        <v>52550</v>
      </c>
      <c r="R76" s="180">
        <f t="shared" si="37"/>
        <v>582</v>
      </c>
      <c r="S76" s="181">
        <f>IF(Q76=0,"",P76/Q76)</f>
        <v>1.0110751665080875</v>
      </c>
      <c r="T76" s="182">
        <f>SUM(T48:T75)</f>
        <v>1143</v>
      </c>
      <c r="U76" s="185">
        <f>IF(G76=0,"",P76/G76)</f>
        <v>1.0219854199926908</v>
      </c>
    </row>
    <row r="77" spans="1:21" x14ac:dyDescent="0.2">
      <c r="F77" s="156"/>
      <c r="G77" s="166"/>
      <c r="H77" s="83"/>
      <c r="I77" s="83"/>
      <c r="J77" s="83"/>
      <c r="K77" s="15"/>
      <c r="L77" s="167"/>
      <c r="M77" s="148"/>
      <c r="N77" s="148"/>
      <c r="O77" s="148"/>
      <c r="P77" s="150"/>
      <c r="Q77" s="151"/>
      <c r="R77" s="152"/>
      <c r="S77" s="173"/>
      <c r="T77" s="154"/>
      <c r="U77" s="170"/>
    </row>
    <row r="78" spans="1:21" ht="13.2" thickBot="1" x14ac:dyDescent="0.25">
      <c r="A78" s="118" t="s">
        <v>171</v>
      </c>
      <c r="F78" s="156"/>
      <c r="G78" s="186">
        <f>G45-G76</f>
        <v>20047</v>
      </c>
      <c r="H78" s="263">
        <f>H45-H76</f>
        <v>7143.53</v>
      </c>
      <c r="I78" s="88">
        <f>I45-I76</f>
        <v>18016</v>
      </c>
      <c r="J78" s="263">
        <f>J45-J76</f>
        <v>24365</v>
      </c>
      <c r="K78" s="282">
        <f>K45-K76</f>
        <v>35037</v>
      </c>
      <c r="L78" s="188">
        <f t="shared" ref="L78:R78" si="38">L45-L76</f>
        <v>7143.53</v>
      </c>
      <c r="M78" s="187">
        <f t="shared" si="38"/>
        <v>10872.469999999998</v>
      </c>
      <c r="N78" s="187">
        <f t="shared" si="38"/>
        <v>6349</v>
      </c>
      <c r="O78" s="187">
        <f t="shared" si="38"/>
        <v>10672</v>
      </c>
      <c r="P78" s="189">
        <f t="shared" si="38"/>
        <v>35037</v>
      </c>
      <c r="Q78" s="190">
        <f>Q45-Q76</f>
        <v>19250</v>
      </c>
      <c r="R78" s="191">
        <f t="shared" si="38"/>
        <v>15787</v>
      </c>
      <c r="S78" s="192">
        <f>IF(Q78=0,"",P78/Q78)</f>
        <v>1.820103896103896</v>
      </c>
      <c r="T78" s="193">
        <f>T45-T76</f>
        <v>14990</v>
      </c>
      <c r="U78" s="194">
        <f>IF(G78=0,"",P78/G78)</f>
        <v>1.7477428044096373</v>
      </c>
    </row>
    <row r="79" spans="1:21" x14ac:dyDescent="0.2">
      <c r="F79" s="195"/>
      <c r="G79" s="166"/>
      <c r="H79" s="83"/>
      <c r="I79" s="83"/>
      <c r="J79" s="83"/>
      <c r="K79" s="15"/>
      <c r="L79" s="167"/>
      <c r="M79" s="148"/>
      <c r="N79" s="148"/>
      <c r="O79" s="148"/>
      <c r="P79" s="150"/>
      <c r="Q79" s="151"/>
      <c r="R79" s="152"/>
      <c r="S79" s="153"/>
      <c r="T79" s="154"/>
      <c r="U79" s="155"/>
    </row>
    <row r="80" spans="1:21" x14ac:dyDescent="0.2">
      <c r="A80" s="118" t="s">
        <v>172</v>
      </c>
      <c r="F80" s="195"/>
      <c r="G80" s="157">
        <f t="shared" ref="G80:Q80" si="39">SUM(G81:G84)</f>
        <v>0</v>
      </c>
      <c r="H80" s="260">
        <f t="shared" si="39"/>
        <v>0</v>
      </c>
      <c r="I80" s="84">
        <f>SUM(I81:I84)</f>
        <v>0</v>
      </c>
      <c r="J80" s="260">
        <f t="shared" ref="J80:K80" si="40">SUM(J81:J84)</f>
        <v>0</v>
      </c>
      <c r="K80" s="280">
        <f t="shared" si="40"/>
        <v>0</v>
      </c>
      <c r="L80" s="159">
        <f t="shared" si="39"/>
        <v>0</v>
      </c>
      <c r="M80" s="158">
        <f t="shared" si="39"/>
        <v>0</v>
      </c>
      <c r="N80" s="158">
        <f t="shared" si="39"/>
        <v>0</v>
      </c>
      <c r="O80" s="158">
        <f t="shared" si="39"/>
        <v>0</v>
      </c>
      <c r="P80" s="160">
        <f t="shared" si="39"/>
        <v>0</v>
      </c>
      <c r="Q80" s="161">
        <f t="shared" si="39"/>
        <v>0</v>
      </c>
      <c r="R80" s="162">
        <f>SUM(R82:R85)</f>
        <v>0</v>
      </c>
      <c r="S80" s="171" t="str">
        <f t="shared" ref="S80:S86" si="41">IF(Q80=0,"",P80/Q80)</f>
        <v/>
      </c>
      <c r="T80" s="164">
        <f>SUM(T82:T85)</f>
        <v>0</v>
      </c>
      <c r="U80" s="227" t="str">
        <f t="shared" ref="U80:U86" si="42">IF(G80=0,"",P80/G80)</f>
        <v/>
      </c>
    </row>
    <row r="81" spans="1:21" outlineLevel="1" x14ac:dyDescent="0.2">
      <c r="B81" s="116" t="s">
        <v>173</v>
      </c>
      <c r="F81" s="195"/>
      <c r="G81" s="166"/>
      <c r="H81" s="83"/>
      <c r="I81" s="83"/>
      <c r="J81" s="83"/>
      <c r="K81" s="15"/>
      <c r="L81" s="167"/>
      <c r="M81" s="148"/>
      <c r="N81" s="148"/>
      <c r="O81" s="148"/>
      <c r="P81" s="150"/>
      <c r="Q81" s="151"/>
      <c r="R81" s="152"/>
      <c r="S81" s="173" t="str">
        <f t="shared" si="41"/>
        <v/>
      </c>
      <c r="T81" s="154"/>
      <c r="U81" s="170" t="str">
        <f t="shared" si="42"/>
        <v/>
      </c>
    </row>
    <row r="82" spans="1:21" outlineLevel="1" x14ac:dyDescent="0.2">
      <c r="C82" s="116" t="s">
        <v>174</v>
      </c>
      <c r="F82" s="195"/>
      <c r="G82" s="166"/>
      <c r="H82" s="83"/>
      <c r="I82" s="83"/>
      <c r="J82" s="83"/>
      <c r="K82" s="15"/>
      <c r="L82" s="167">
        <f>+H82</f>
        <v>0</v>
      </c>
      <c r="M82" s="148">
        <f>IF(I82=0,0,I82-H82)</f>
        <v>0</v>
      </c>
      <c r="N82" s="148">
        <f t="shared" ref="N82:O84" si="43">IF(J82=0,0,J82-I82)</f>
        <v>0</v>
      </c>
      <c r="O82" s="148">
        <f t="shared" si="43"/>
        <v>0</v>
      </c>
      <c r="P82" s="150">
        <f>SUM(L82:O82)</f>
        <v>0</v>
      </c>
      <c r="Q82" s="151"/>
      <c r="R82" s="152">
        <f>P82-Q82</f>
        <v>0</v>
      </c>
      <c r="S82" s="173" t="str">
        <f t="shared" si="41"/>
        <v/>
      </c>
      <c r="T82" s="154">
        <f>P82-G82</f>
        <v>0</v>
      </c>
      <c r="U82" s="170" t="str">
        <f t="shared" si="42"/>
        <v/>
      </c>
    </row>
    <row r="83" spans="1:21" outlineLevel="1" x14ac:dyDescent="0.2">
      <c r="B83" s="116" t="s">
        <v>175</v>
      </c>
      <c r="F83" s="195">
        <v>5310</v>
      </c>
      <c r="G83" s="166"/>
      <c r="H83" s="83"/>
      <c r="I83" s="83"/>
      <c r="J83" s="83"/>
      <c r="K83" s="15"/>
      <c r="L83" s="167">
        <f>+H83</f>
        <v>0</v>
      </c>
      <c r="M83" s="148">
        <f>IF(I83=0,0,I83-H83)</f>
        <v>0</v>
      </c>
      <c r="N83" s="148">
        <f t="shared" si="43"/>
        <v>0</v>
      </c>
      <c r="O83" s="148">
        <f t="shared" si="43"/>
        <v>0</v>
      </c>
      <c r="P83" s="150">
        <f>SUM(L83:O83)</f>
        <v>0</v>
      </c>
      <c r="Q83" s="151"/>
      <c r="R83" s="152">
        <f>P83-Q83</f>
        <v>0</v>
      </c>
      <c r="S83" s="173" t="str">
        <f t="shared" si="41"/>
        <v/>
      </c>
      <c r="T83" s="154">
        <f>P83-G83</f>
        <v>0</v>
      </c>
      <c r="U83" s="170" t="str">
        <f t="shared" si="42"/>
        <v/>
      </c>
    </row>
    <row r="84" spans="1:21" outlineLevel="1" x14ac:dyDescent="0.2">
      <c r="F84" s="195"/>
      <c r="G84" s="166"/>
      <c r="H84" s="83"/>
      <c r="I84" s="83"/>
      <c r="J84" s="83"/>
      <c r="K84" s="15"/>
      <c r="L84" s="167">
        <f>+H84</f>
        <v>0</v>
      </c>
      <c r="M84" s="148">
        <f>IF(I84=0,0,I84-H84)</f>
        <v>0</v>
      </c>
      <c r="N84" s="148">
        <f t="shared" si="43"/>
        <v>0</v>
      </c>
      <c r="O84" s="148">
        <f t="shared" si="43"/>
        <v>0</v>
      </c>
      <c r="P84" s="150">
        <f>SUM(L84:O84)</f>
        <v>0</v>
      </c>
      <c r="Q84" s="151"/>
      <c r="R84" s="152">
        <f>P84-Q84</f>
        <v>0</v>
      </c>
      <c r="S84" s="173" t="str">
        <f t="shared" si="41"/>
        <v/>
      </c>
      <c r="T84" s="154">
        <f>P84-G84</f>
        <v>0</v>
      </c>
      <c r="U84" s="170" t="str">
        <f t="shared" si="42"/>
        <v/>
      </c>
    </row>
    <row r="85" spans="1:21" x14ac:dyDescent="0.2">
      <c r="F85" s="195"/>
      <c r="G85" s="166"/>
      <c r="H85" s="83"/>
      <c r="I85" s="83"/>
      <c r="J85" s="83"/>
      <c r="K85" s="15"/>
      <c r="L85" s="167"/>
      <c r="M85" s="148"/>
      <c r="N85" s="148"/>
      <c r="O85" s="148"/>
      <c r="P85" s="150"/>
      <c r="Q85" s="151"/>
      <c r="R85" s="152"/>
      <c r="S85" s="173" t="str">
        <f t="shared" si="41"/>
        <v/>
      </c>
      <c r="T85" s="154"/>
      <c r="U85" s="170" t="str">
        <f t="shared" si="42"/>
        <v/>
      </c>
    </row>
    <row r="86" spans="1:21" x14ac:dyDescent="0.2">
      <c r="A86" s="118" t="s">
        <v>176</v>
      </c>
      <c r="F86" s="195"/>
      <c r="G86" s="157"/>
      <c r="H86" s="260"/>
      <c r="I86" s="84"/>
      <c r="J86" s="260"/>
      <c r="K86" s="280"/>
      <c r="L86" s="159"/>
      <c r="M86" s="158"/>
      <c r="N86" s="158"/>
      <c r="O86" s="158"/>
      <c r="P86" s="160">
        <f>SUM(L86:O86)</f>
        <v>0</v>
      </c>
      <c r="Q86" s="161">
        <v>0</v>
      </c>
      <c r="R86" s="162">
        <f>P86-Q86</f>
        <v>0</v>
      </c>
      <c r="S86" s="171" t="str">
        <f t="shared" si="41"/>
        <v/>
      </c>
      <c r="T86" s="164">
        <f>P86-G86</f>
        <v>0</v>
      </c>
      <c r="U86" s="227" t="str">
        <f t="shared" si="42"/>
        <v/>
      </c>
    </row>
    <row r="87" spans="1:21" x14ac:dyDescent="0.2">
      <c r="F87" s="195"/>
      <c r="G87" s="166"/>
      <c r="H87" s="83"/>
      <c r="I87" s="83"/>
      <c r="J87" s="83"/>
      <c r="K87" s="15"/>
      <c r="L87" s="167"/>
      <c r="M87" s="148"/>
      <c r="N87" s="148"/>
      <c r="O87" s="148"/>
      <c r="P87" s="150"/>
      <c r="Q87" s="151"/>
      <c r="R87" s="152"/>
      <c r="S87" s="173"/>
      <c r="T87" s="154"/>
      <c r="U87" s="170"/>
    </row>
    <row r="88" spans="1:21" ht="13.2" outlineLevel="1" thickBot="1" x14ac:dyDescent="0.25">
      <c r="A88" s="118" t="s">
        <v>177</v>
      </c>
      <c r="F88" s="195"/>
      <c r="G88" s="196">
        <f>G78+G80-G86</f>
        <v>20047</v>
      </c>
      <c r="H88" s="89">
        <f>H78+H80-H86</f>
        <v>7143.53</v>
      </c>
      <c r="I88" s="89">
        <f t="shared" ref="I88:K88" si="44">I78+I80-I86</f>
        <v>18016</v>
      </c>
      <c r="J88" s="272">
        <f t="shared" si="44"/>
        <v>24365</v>
      </c>
      <c r="K88" s="283">
        <f t="shared" si="44"/>
        <v>35037</v>
      </c>
      <c r="L88" s="196">
        <f t="shared" ref="L88:P88" si="45">L78+L80-L86</f>
        <v>7143.53</v>
      </c>
      <c r="M88" s="197">
        <f t="shared" si="45"/>
        <v>10872.469999999998</v>
      </c>
      <c r="N88" s="197">
        <f t="shared" si="45"/>
        <v>6349</v>
      </c>
      <c r="O88" s="197">
        <f t="shared" si="45"/>
        <v>10672</v>
      </c>
      <c r="P88" s="189">
        <f t="shared" si="45"/>
        <v>35037</v>
      </c>
      <c r="Q88" s="198">
        <f>Q78+Q80-Q86</f>
        <v>19250</v>
      </c>
      <c r="R88" s="198">
        <f>R78+-R86</f>
        <v>15787</v>
      </c>
      <c r="S88" s="199">
        <f>IF(Q88=0,"",P88/Q88)</f>
        <v>1.820103896103896</v>
      </c>
      <c r="T88" s="198">
        <f>T78+-T86</f>
        <v>14990</v>
      </c>
      <c r="U88" s="200">
        <f>IF(G88=0,"",P88/G88)</f>
        <v>1.7477428044096373</v>
      </c>
    </row>
    <row r="89" spans="1:21" outlineLevel="1" x14ac:dyDescent="0.2">
      <c r="A89" s="118"/>
      <c r="F89" s="195"/>
      <c r="G89" s="201"/>
      <c r="H89" s="83"/>
      <c r="I89" s="83"/>
      <c r="J89" s="83"/>
      <c r="K89" s="15"/>
      <c r="L89" s="202"/>
      <c r="M89" s="203"/>
      <c r="N89" s="203"/>
      <c r="O89" s="148"/>
      <c r="P89" s="204"/>
      <c r="Q89" s="151"/>
      <c r="R89" s="152"/>
      <c r="S89" s="153"/>
      <c r="T89" s="154"/>
      <c r="U89" s="170"/>
    </row>
    <row r="90" spans="1:21" outlineLevel="1" x14ac:dyDescent="0.2">
      <c r="A90" s="118" t="s">
        <v>178</v>
      </c>
      <c r="F90" s="195"/>
      <c r="G90" s="201"/>
      <c r="H90" s="83"/>
      <c r="I90" s="83"/>
      <c r="J90" s="83"/>
      <c r="K90" s="15"/>
      <c r="L90" s="202"/>
      <c r="M90" s="203"/>
      <c r="N90" s="203"/>
      <c r="O90" s="148"/>
      <c r="P90" s="204"/>
      <c r="Q90" s="151"/>
      <c r="R90" s="152"/>
      <c r="S90" s="153"/>
      <c r="T90" s="154"/>
      <c r="U90" s="170"/>
    </row>
    <row r="91" spans="1:21" outlineLevel="1" x14ac:dyDescent="0.2">
      <c r="A91" s="118"/>
      <c r="B91" s="116" t="s">
        <v>179</v>
      </c>
      <c r="E91" s="116" t="s">
        <v>412</v>
      </c>
      <c r="F91" s="195"/>
      <c r="G91" s="201">
        <f t="shared" ref="G91:L91" si="46">G132</f>
        <v>8676</v>
      </c>
      <c r="H91" s="83">
        <f t="shared" si="46"/>
        <v>0</v>
      </c>
      <c r="I91" s="83">
        <f t="shared" si="46"/>
        <v>27851</v>
      </c>
      <c r="J91" s="83">
        <f t="shared" si="46"/>
        <v>38119</v>
      </c>
      <c r="K91" s="15">
        <f t="shared" si="46"/>
        <v>38119</v>
      </c>
      <c r="L91" s="202">
        <f t="shared" si="46"/>
        <v>0</v>
      </c>
      <c r="M91" s="203">
        <f>IF(I91=0,0,I91-H91)</f>
        <v>27851</v>
      </c>
      <c r="N91" s="203">
        <f>N132</f>
        <v>10268</v>
      </c>
      <c r="O91" s="148">
        <f>O132</f>
        <v>0</v>
      </c>
      <c r="P91" s="150">
        <f>SUM(L91:O91)</f>
        <v>38119</v>
      </c>
      <c r="Q91" s="151">
        <f>Q132</f>
        <v>40500</v>
      </c>
      <c r="R91" s="152">
        <f>P91-Q91</f>
        <v>-2381</v>
      </c>
      <c r="S91" s="173">
        <f>IF(Q91=0,"",P91/Q91)</f>
        <v>0.94120987654320987</v>
      </c>
      <c r="T91" s="154">
        <f>P91-G91</f>
        <v>29443</v>
      </c>
      <c r="U91" s="170">
        <f>IF(G91=0,"",P91/G91)</f>
        <v>4.3936145689257726</v>
      </c>
    </row>
    <row r="92" spans="1:21" outlineLevel="1" x14ac:dyDescent="0.2">
      <c r="A92" s="118"/>
      <c r="B92" s="116" t="s">
        <v>260</v>
      </c>
      <c r="F92" s="195"/>
      <c r="G92" s="201"/>
      <c r="H92" s="83"/>
      <c r="I92" s="83"/>
      <c r="J92" s="83"/>
      <c r="K92" s="15"/>
      <c r="L92" s="202"/>
      <c r="M92" s="203">
        <f>IF(I92=0,0,I92-H92)</f>
        <v>0</v>
      </c>
      <c r="N92" s="203"/>
      <c r="O92" s="148"/>
      <c r="P92" s="150">
        <f>SUM(L92:O92)</f>
        <v>0</v>
      </c>
      <c r="Q92" s="151"/>
      <c r="R92" s="152">
        <f>P92-Q92</f>
        <v>0</v>
      </c>
      <c r="S92" s="173" t="str">
        <f>IF(Q92=0,"",P92/Q92)</f>
        <v/>
      </c>
      <c r="T92" s="154">
        <f>P92-G92</f>
        <v>0</v>
      </c>
      <c r="U92" s="170" t="str">
        <f>IF(G92=0,"",P92/G92)</f>
        <v/>
      </c>
    </row>
    <row r="93" spans="1:21" outlineLevel="1" x14ac:dyDescent="0.2">
      <c r="A93" s="118"/>
      <c r="F93" s="195"/>
      <c r="G93" s="201"/>
      <c r="H93" s="83"/>
      <c r="I93" s="83"/>
      <c r="J93" s="83"/>
      <c r="K93" s="15"/>
      <c r="L93" s="202"/>
      <c r="M93" s="203"/>
      <c r="N93" s="203"/>
      <c r="O93" s="148"/>
      <c r="P93" s="204"/>
      <c r="Q93" s="151"/>
      <c r="R93" s="152"/>
      <c r="S93" s="173"/>
      <c r="T93" s="154"/>
      <c r="U93" s="170"/>
    </row>
    <row r="94" spans="1:21" outlineLevel="1" x14ac:dyDescent="0.2">
      <c r="A94" s="118"/>
      <c r="B94" s="118" t="s">
        <v>180</v>
      </c>
      <c r="F94" s="195"/>
      <c r="G94" s="157">
        <f t="shared" ref="G94:O94" si="47">+G91+G92</f>
        <v>8676</v>
      </c>
      <c r="H94" s="260">
        <f t="shared" si="47"/>
        <v>0</v>
      </c>
      <c r="I94" s="84">
        <f>+I91+I92</f>
        <v>27851</v>
      </c>
      <c r="J94" s="260">
        <f t="shared" ref="J94:K94" si="48">+J91+J92</f>
        <v>38119</v>
      </c>
      <c r="K94" s="280">
        <f t="shared" si="48"/>
        <v>38119</v>
      </c>
      <c r="L94" s="159">
        <f t="shared" si="47"/>
        <v>0</v>
      </c>
      <c r="M94" s="158">
        <f t="shared" si="47"/>
        <v>27851</v>
      </c>
      <c r="N94" s="158">
        <f t="shared" si="47"/>
        <v>10268</v>
      </c>
      <c r="O94" s="158">
        <f t="shared" si="47"/>
        <v>0</v>
      </c>
      <c r="P94" s="160">
        <f>SUM(L94:O94)</f>
        <v>38119</v>
      </c>
      <c r="Q94" s="161">
        <f>+Q91+Q92</f>
        <v>40500</v>
      </c>
      <c r="R94" s="162">
        <f>R91+R92</f>
        <v>-2381</v>
      </c>
      <c r="S94" s="171">
        <f>IF(Q94=0,"",P94/Q94)</f>
        <v>0.94120987654320987</v>
      </c>
      <c r="T94" s="164">
        <f>T91+T92</f>
        <v>29443</v>
      </c>
      <c r="U94" s="205">
        <f>IF(G94=0,"",P94/G94)</f>
        <v>4.3936145689257726</v>
      </c>
    </row>
    <row r="95" spans="1:21" outlineLevel="1" x14ac:dyDescent="0.2">
      <c r="A95" s="118"/>
      <c r="F95" s="195"/>
      <c r="G95" s="201"/>
      <c r="H95" s="83"/>
      <c r="I95" s="83"/>
      <c r="J95" s="83"/>
      <c r="K95" s="15"/>
      <c r="L95" s="202"/>
      <c r="M95" s="203"/>
      <c r="N95" s="203"/>
      <c r="O95" s="148"/>
      <c r="P95" s="204"/>
      <c r="Q95" s="151"/>
      <c r="R95" s="152"/>
      <c r="S95" s="173"/>
      <c r="T95" s="154"/>
      <c r="U95" s="206"/>
    </row>
    <row r="96" spans="1:21" ht="13.2" thickBot="1" x14ac:dyDescent="0.25">
      <c r="A96" s="118" t="s">
        <v>181</v>
      </c>
      <c r="F96" s="195"/>
      <c r="G96" s="207">
        <f>+G88-G94</f>
        <v>11371</v>
      </c>
      <c r="H96" s="264">
        <f>+H88-H94</f>
        <v>7143.53</v>
      </c>
      <c r="I96" s="90">
        <f t="shared" ref="I96:K96" si="49">+I88-I94</f>
        <v>-9835</v>
      </c>
      <c r="J96" s="264">
        <f t="shared" si="49"/>
        <v>-13754</v>
      </c>
      <c r="K96" s="284">
        <f t="shared" si="49"/>
        <v>-3082</v>
      </c>
      <c r="L96" s="207">
        <f t="shared" ref="L96:P96" si="50">+L88-L94</f>
        <v>7143.53</v>
      </c>
      <c r="M96" s="208">
        <f t="shared" si="50"/>
        <v>-16978.530000000002</v>
      </c>
      <c r="N96" s="208">
        <f t="shared" si="50"/>
        <v>-3919</v>
      </c>
      <c r="O96" s="208">
        <f t="shared" si="50"/>
        <v>10672</v>
      </c>
      <c r="P96" s="209">
        <f t="shared" si="50"/>
        <v>-3082</v>
      </c>
      <c r="Q96" s="210">
        <f>+Q88-Q94</f>
        <v>-21250</v>
      </c>
      <c r="R96" s="211">
        <f>R88-R94</f>
        <v>18168</v>
      </c>
      <c r="S96" s="212">
        <f>IF(Q96=0,"",P96/Q96)</f>
        <v>0.14503529411764707</v>
      </c>
      <c r="T96" s="213">
        <f>T88-T94</f>
        <v>-14453</v>
      </c>
      <c r="U96" s="214">
        <f>IF(G96=0,"",P96/G96)</f>
        <v>-0.27104036584293378</v>
      </c>
    </row>
    <row r="97" spans="1:21" ht="13.2" thickTop="1" x14ac:dyDescent="0.2">
      <c r="F97" s="195"/>
      <c r="G97" s="166"/>
      <c r="H97" s="83"/>
      <c r="I97" s="83"/>
      <c r="J97" s="83"/>
      <c r="K97" s="15"/>
      <c r="L97" s="167"/>
      <c r="M97" s="148"/>
      <c r="N97" s="148"/>
      <c r="O97" s="148"/>
      <c r="P97" s="150"/>
      <c r="Q97" s="151"/>
      <c r="R97" s="152"/>
      <c r="S97" s="153"/>
      <c r="T97" s="154"/>
      <c r="U97" s="170"/>
    </row>
    <row r="98" spans="1:21" x14ac:dyDescent="0.2">
      <c r="A98" s="118" t="s">
        <v>334</v>
      </c>
      <c r="F98" s="195"/>
      <c r="G98" s="166"/>
      <c r="H98" s="83"/>
      <c r="I98" s="83"/>
      <c r="J98" s="83"/>
      <c r="K98" s="15"/>
      <c r="L98" s="167"/>
      <c r="M98" s="148"/>
      <c r="N98" s="148"/>
      <c r="O98" s="148"/>
      <c r="P98" s="150"/>
      <c r="Q98" s="151"/>
      <c r="R98" s="152"/>
      <c r="S98" s="153"/>
      <c r="T98" s="154"/>
      <c r="U98" s="170"/>
    </row>
    <row r="99" spans="1:21" x14ac:dyDescent="0.2">
      <c r="B99" s="116" t="s">
        <v>335</v>
      </c>
      <c r="F99" s="195"/>
      <c r="G99" s="166"/>
      <c r="H99" s="83"/>
      <c r="I99" s="83"/>
      <c r="J99" s="83"/>
      <c r="K99" s="15"/>
      <c r="L99" s="167">
        <f t="shared" ref="L99:L107" si="51">+H99</f>
        <v>0</v>
      </c>
      <c r="M99" s="148">
        <f t="shared" ref="M99:M107" si="52">IF(I99=0,0,I99-H99)</f>
        <v>0</v>
      </c>
      <c r="N99" s="148">
        <f t="shared" ref="N99:O107" si="53">IF(J99=0,0,J99-I99)</f>
        <v>0</v>
      </c>
      <c r="O99" s="148">
        <f t="shared" si="53"/>
        <v>0</v>
      </c>
      <c r="P99" s="150">
        <f t="shared" ref="P99:P107" si="54">SUM(L99:O99)</f>
        <v>0</v>
      </c>
      <c r="Q99" s="151"/>
      <c r="R99" s="152">
        <f t="shared" ref="R99:R107" si="55">P99-Q99</f>
        <v>0</v>
      </c>
      <c r="S99" s="173" t="str">
        <f t="shared" ref="S99:S107" si="56">IF(Q99=0,"",P99/Q99)</f>
        <v/>
      </c>
      <c r="T99" s="154">
        <f t="shared" ref="T99:T107" si="57">P99-G99</f>
        <v>0</v>
      </c>
      <c r="U99" s="170" t="str">
        <f t="shared" ref="U99:U107" si="58">IF(G99=0,"",P99/G99)</f>
        <v/>
      </c>
    </row>
    <row r="100" spans="1:21" x14ac:dyDescent="0.2">
      <c r="B100" s="116" t="s">
        <v>336</v>
      </c>
      <c r="F100" s="195">
        <v>5491</v>
      </c>
      <c r="G100" s="166">
        <v>9305</v>
      </c>
      <c r="H100" s="83"/>
      <c r="I100" s="83"/>
      <c r="J100" s="83">
        <v>6076</v>
      </c>
      <c r="K100" s="16">
        <v>6076</v>
      </c>
      <c r="L100" s="167">
        <f t="shared" si="51"/>
        <v>0</v>
      </c>
      <c r="M100" s="148">
        <f t="shared" si="52"/>
        <v>0</v>
      </c>
      <c r="N100" s="148">
        <f t="shared" si="53"/>
        <v>6076</v>
      </c>
      <c r="O100" s="148">
        <f t="shared" si="53"/>
        <v>0</v>
      </c>
      <c r="P100" s="150">
        <f t="shared" si="54"/>
        <v>6076</v>
      </c>
      <c r="Q100" s="151">
        <v>9200</v>
      </c>
      <c r="R100" s="152">
        <f t="shared" si="55"/>
        <v>-3124</v>
      </c>
      <c r="S100" s="173">
        <f t="shared" si="56"/>
        <v>0.6604347826086957</v>
      </c>
      <c r="T100" s="154">
        <f t="shared" si="57"/>
        <v>-3229</v>
      </c>
      <c r="U100" s="170">
        <f t="shared" si="58"/>
        <v>0.65298226759806555</v>
      </c>
    </row>
    <row r="101" spans="1:21" x14ac:dyDescent="0.2">
      <c r="B101" s="116" t="s">
        <v>337</v>
      </c>
      <c r="F101" s="195"/>
      <c r="G101" s="166"/>
      <c r="H101" s="83"/>
      <c r="I101" s="83"/>
      <c r="J101" s="83"/>
      <c r="K101" s="15"/>
      <c r="L101" s="167">
        <f t="shared" si="51"/>
        <v>0</v>
      </c>
      <c r="M101" s="148">
        <f t="shared" si="52"/>
        <v>0</v>
      </c>
      <c r="N101" s="148">
        <f t="shared" si="53"/>
        <v>0</v>
      </c>
      <c r="O101" s="148">
        <f t="shared" si="53"/>
        <v>0</v>
      </c>
      <c r="P101" s="150">
        <f t="shared" si="54"/>
        <v>0</v>
      </c>
      <c r="Q101" s="151"/>
      <c r="R101" s="152">
        <f t="shared" si="55"/>
        <v>0</v>
      </c>
      <c r="S101" s="173" t="str">
        <f t="shared" si="56"/>
        <v/>
      </c>
      <c r="T101" s="154">
        <f t="shared" si="57"/>
        <v>0</v>
      </c>
      <c r="U101" s="170" t="str">
        <f t="shared" si="58"/>
        <v/>
      </c>
    </row>
    <row r="102" spans="1:21" x14ac:dyDescent="0.2">
      <c r="B102" s="116" t="s">
        <v>338</v>
      </c>
      <c r="F102" s="195"/>
      <c r="G102" s="166"/>
      <c r="H102" s="83"/>
      <c r="I102" s="83"/>
      <c r="J102" s="83"/>
      <c r="K102" s="15"/>
      <c r="L102" s="167">
        <f t="shared" si="51"/>
        <v>0</v>
      </c>
      <c r="M102" s="148">
        <f t="shared" si="52"/>
        <v>0</v>
      </c>
      <c r="N102" s="148">
        <f t="shared" si="53"/>
        <v>0</v>
      </c>
      <c r="O102" s="148">
        <f t="shared" si="53"/>
        <v>0</v>
      </c>
      <c r="P102" s="150">
        <f t="shared" si="54"/>
        <v>0</v>
      </c>
      <c r="Q102" s="151"/>
      <c r="R102" s="152">
        <f t="shared" si="55"/>
        <v>0</v>
      </c>
      <c r="S102" s="173" t="str">
        <f t="shared" si="56"/>
        <v/>
      </c>
      <c r="T102" s="154">
        <f t="shared" si="57"/>
        <v>0</v>
      </c>
      <c r="U102" s="170" t="str">
        <f t="shared" si="58"/>
        <v/>
      </c>
    </row>
    <row r="103" spans="1:21" x14ac:dyDescent="0.2">
      <c r="B103" s="116" t="s">
        <v>339</v>
      </c>
      <c r="F103" s="195"/>
      <c r="G103" s="166"/>
      <c r="H103" s="83"/>
      <c r="I103" s="83"/>
      <c r="J103" s="83"/>
      <c r="K103" s="15">
        <v>12500</v>
      </c>
      <c r="L103" s="167">
        <f t="shared" si="51"/>
        <v>0</v>
      </c>
      <c r="M103" s="148">
        <f t="shared" si="52"/>
        <v>0</v>
      </c>
      <c r="N103" s="148">
        <f t="shared" si="53"/>
        <v>0</v>
      </c>
      <c r="O103" s="148">
        <f t="shared" si="53"/>
        <v>12500</v>
      </c>
      <c r="P103" s="150">
        <f t="shared" si="54"/>
        <v>12500</v>
      </c>
      <c r="Q103" s="151"/>
      <c r="R103" s="152">
        <f t="shared" si="55"/>
        <v>12500</v>
      </c>
      <c r="S103" s="173" t="str">
        <f t="shared" si="56"/>
        <v/>
      </c>
      <c r="T103" s="154">
        <f t="shared" si="57"/>
        <v>12500</v>
      </c>
      <c r="U103" s="170" t="str">
        <f t="shared" si="58"/>
        <v/>
      </c>
    </row>
    <row r="104" spans="1:21" x14ac:dyDescent="0.2">
      <c r="B104" s="116" t="s">
        <v>340</v>
      </c>
      <c r="F104" s="195"/>
      <c r="G104" s="166"/>
      <c r="H104" s="83"/>
      <c r="I104" s="83"/>
      <c r="J104" s="83"/>
      <c r="K104" s="15"/>
      <c r="L104" s="167">
        <f t="shared" si="51"/>
        <v>0</v>
      </c>
      <c r="M104" s="148">
        <f t="shared" si="52"/>
        <v>0</v>
      </c>
      <c r="N104" s="148">
        <f t="shared" si="53"/>
        <v>0</v>
      </c>
      <c r="O104" s="148">
        <f t="shared" si="53"/>
        <v>0</v>
      </c>
      <c r="P104" s="150">
        <f t="shared" si="54"/>
        <v>0</v>
      </c>
      <c r="Q104" s="151"/>
      <c r="R104" s="152">
        <f t="shared" si="55"/>
        <v>0</v>
      </c>
      <c r="S104" s="173" t="str">
        <f t="shared" si="56"/>
        <v/>
      </c>
      <c r="T104" s="154">
        <f t="shared" si="57"/>
        <v>0</v>
      </c>
      <c r="U104" s="170" t="str">
        <f t="shared" si="58"/>
        <v/>
      </c>
    </row>
    <row r="105" spans="1:21" x14ac:dyDescent="0.2">
      <c r="B105" s="116" t="s">
        <v>341</v>
      </c>
      <c r="F105" s="195"/>
      <c r="G105" s="166"/>
      <c r="H105" s="83"/>
      <c r="I105" s="83"/>
      <c r="J105" s="83"/>
      <c r="K105" s="15"/>
      <c r="L105" s="167">
        <f t="shared" si="51"/>
        <v>0</v>
      </c>
      <c r="M105" s="148">
        <f t="shared" si="52"/>
        <v>0</v>
      </c>
      <c r="N105" s="148">
        <f t="shared" si="53"/>
        <v>0</v>
      </c>
      <c r="O105" s="148">
        <f t="shared" si="53"/>
        <v>0</v>
      </c>
      <c r="P105" s="150">
        <f t="shared" si="54"/>
        <v>0</v>
      </c>
      <c r="Q105" s="151"/>
      <c r="R105" s="152">
        <f t="shared" si="55"/>
        <v>0</v>
      </c>
      <c r="S105" s="173" t="str">
        <f t="shared" si="56"/>
        <v/>
      </c>
      <c r="T105" s="154">
        <f t="shared" si="57"/>
        <v>0</v>
      </c>
      <c r="U105" s="170" t="str">
        <f t="shared" si="58"/>
        <v/>
      </c>
    </row>
    <row r="106" spans="1:21" x14ac:dyDescent="0.2">
      <c r="B106" s="116" t="s">
        <v>342</v>
      </c>
      <c r="F106" s="195"/>
      <c r="G106" s="166"/>
      <c r="H106" s="83"/>
      <c r="I106" s="83"/>
      <c r="J106" s="83"/>
      <c r="K106" s="15"/>
      <c r="L106" s="167">
        <f t="shared" si="51"/>
        <v>0</v>
      </c>
      <c r="M106" s="148">
        <f t="shared" si="52"/>
        <v>0</v>
      </c>
      <c r="N106" s="148">
        <f t="shared" si="53"/>
        <v>0</v>
      </c>
      <c r="O106" s="148">
        <f t="shared" si="53"/>
        <v>0</v>
      </c>
      <c r="P106" s="150">
        <f t="shared" si="54"/>
        <v>0</v>
      </c>
      <c r="Q106" s="151"/>
      <c r="R106" s="152">
        <f t="shared" si="55"/>
        <v>0</v>
      </c>
      <c r="S106" s="173" t="str">
        <f t="shared" si="56"/>
        <v/>
      </c>
      <c r="T106" s="154">
        <f t="shared" si="57"/>
        <v>0</v>
      </c>
      <c r="U106" s="170" t="str">
        <f t="shared" si="58"/>
        <v/>
      </c>
    </row>
    <row r="107" spans="1:21" x14ac:dyDescent="0.2">
      <c r="B107" s="116" t="s">
        <v>343</v>
      </c>
      <c r="F107" s="195"/>
      <c r="G107" s="166"/>
      <c r="H107" s="83"/>
      <c r="I107" s="83"/>
      <c r="J107" s="83"/>
      <c r="K107" s="15"/>
      <c r="L107" s="167">
        <f t="shared" si="51"/>
        <v>0</v>
      </c>
      <c r="M107" s="148">
        <f t="shared" si="52"/>
        <v>0</v>
      </c>
      <c r="N107" s="148">
        <f t="shared" si="53"/>
        <v>0</v>
      </c>
      <c r="O107" s="148">
        <f t="shared" si="53"/>
        <v>0</v>
      </c>
      <c r="P107" s="150">
        <f t="shared" si="54"/>
        <v>0</v>
      </c>
      <c r="Q107" s="151"/>
      <c r="R107" s="152">
        <f t="shared" si="55"/>
        <v>0</v>
      </c>
      <c r="S107" s="173" t="str">
        <f t="shared" si="56"/>
        <v/>
      </c>
      <c r="T107" s="154">
        <f t="shared" si="57"/>
        <v>0</v>
      </c>
      <c r="U107" s="170" t="str">
        <f t="shared" si="58"/>
        <v/>
      </c>
    </row>
    <row r="108" spans="1:21" x14ac:dyDescent="0.2">
      <c r="F108" s="195"/>
      <c r="G108" s="166"/>
      <c r="H108" s="83"/>
      <c r="I108" s="83"/>
      <c r="J108" s="83"/>
      <c r="K108" s="15"/>
      <c r="L108" s="167"/>
      <c r="M108" s="148"/>
      <c r="N108" s="148"/>
      <c r="O108" s="148"/>
      <c r="P108" s="150"/>
      <c r="Q108" s="151"/>
      <c r="R108" s="152"/>
      <c r="S108" s="153"/>
      <c r="T108" s="154"/>
      <c r="U108" s="170"/>
    </row>
    <row r="109" spans="1:21" x14ac:dyDescent="0.2">
      <c r="B109" s="118" t="s">
        <v>344</v>
      </c>
      <c r="F109" s="195"/>
      <c r="G109" s="175">
        <f>SUM(G99:G108)</f>
        <v>9305</v>
      </c>
      <c r="H109" s="262">
        <f>SUM(H99:H108)</f>
        <v>0</v>
      </c>
      <c r="I109" s="86">
        <f>SUM(I99:I108)</f>
        <v>0</v>
      </c>
      <c r="J109" s="262">
        <f>SUM(J99:J108)</f>
        <v>6076</v>
      </c>
      <c r="K109" s="281">
        <f>SUM(K99:K108)</f>
        <v>18576</v>
      </c>
      <c r="L109" s="177">
        <f t="shared" ref="L109:R109" si="59">SUM(L99:L108)</f>
        <v>0</v>
      </c>
      <c r="M109" s="176">
        <f t="shared" si="59"/>
        <v>0</v>
      </c>
      <c r="N109" s="176">
        <f t="shared" si="59"/>
        <v>6076</v>
      </c>
      <c r="O109" s="176">
        <f t="shared" si="59"/>
        <v>12500</v>
      </c>
      <c r="P109" s="178">
        <f t="shared" si="59"/>
        <v>18576</v>
      </c>
      <c r="Q109" s="179">
        <f t="shared" si="59"/>
        <v>9200</v>
      </c>
      <c r="R109" s="180">
        <f t="shared" si="59"/>
        <v>9376</v>
      </c>
      <c r="S109" s="181">
        <f>IF(Q109=0,"",P109/Q109)</f>
        <v>2.0191304347826087</v>
      </c>
      <c r="T109" s="182">
        <f>SUM(T99:T108)</f>
        <v>9271</v>
      </c>
      <c r="U109" s="183">
        <f>IF(G109=0,"",P109/G109)</f>
        <v>1.9963460505104782</v>
      </c>
    </row>
    <row r="110" spans="1:21" x14ac:dyDescent="0.2">
      <c r="F110" s="195"/>
      <c r="G110" s="166"/>
      <c r="H110" s="83"/>
      <c r="I110" s="83"/>
      <c r="J110" s="83"/>
      <c r="K110" s="15"/>
      <c r="L110" s="167"/>
      <c r="M110" s="148"/>
      <c r="N110" s="148"/>
      <c r="O110" s="148"/>
      <c r="P110" s="150"/>
      <c r="Q110" s="151"/>
      <c r="R110" s="152"/>
      <c r="S110" s="153"/>
      <c r="T110" s="154"/>
      <c r="U110" s="170"/>
    </row>
    <row r="111" spans="1:21" x14ac:dyDescent="0.2">
      <c r="F111" s="195"/>
      <c r="G111" s="166"/>
      <c r="H111" s="226"/>
      <c r="I111" s="83"/>
      <c r="J111" s="83"/>
      <c r="K111" s="15"/>
      <c r="L111" s="167"/>
      <c r="M111" s="148"/>
      <c r="N111" s="148"/>
      <c r="O111" s="148"/>
      <c r="P111" s="150"/>
      <c r="Q111" s="151"/>
      <c r="R111" s="152"/>
      <c r="S111" s="153"/>
      <c r="T111" s="154"/>
      <c r="U111" s="170"/>
    </row>
    <row r="112" spans="1:21" x14ac:dyDescent="0.2">
      <c r="F112" s="195"/>
      <c r="G112" s="166"/>
      <c r="H112" s="83"/>
      <c r="I112" s="83"/>
      <c r="J112" s="83"/>
      <c r="K112" s="15"/>
      <c r="L112" s="167"/>
      <c r="M112" s="148"/>
      <c r="N112" s="148"/>
      <c r="O112" s="148"/>
      <c r="P112" s="150"/>
      <c r="Q112" s="151"/>
      <c r="R112" s="152"/>
      <c r="S112" s="153"/>
      <c r="T112" s="154"/>
      <c r="U112" s="170"/>
    </row>
    <row r="113" spans="1:21" x14ac:dyDescent="0.2">
      <c r="A113" s="118" t="s">
        <v>345</v>
      </c>
      <c r="F113" s="195"/>
      <c r="G113" s="166"/>
      <c r="H113" s="83"/>
      <c r="I113" s="83"/>
      <c r="J113" s="83"/>
      <c r="K113" s="15"/>
      <c r="L113" s="167"/>
      <c r="M113" s="148"/>
      <c r="N113" s="148"/>
      <c r="O113" s="148"/>
      <c r="P113" s="150"/>
      <c r="Q113" s="151"/>
      <c r="R113" s="152"/>
      <c r="S113" s="153"/>
      <c r="T113" s="154"/>
      <c r="U113" s="170"/>
    </row>
    <row r="114" spans="1:21" outlineLevel="1" x14ac:dyDescent="0.2">
      <c r="A114" s="118"/>
      <c r="B114" s="118" t="s">
        <v>348</v>
      </c>
      <c r="F114" s="195"/>
      <c r="G114" s="166"/>
      <c r="H114" s="83"/>
      <c r="I114" s="83"/>
      <c r="J114" s="83"/>
      <c r="K114" s="15"/>
      <c r="L114" s="167"/>
      <c r="M114" s="148"/>
      <c r="N114" s="148"/>
      <c r="O114" s="148"/>
      <c r="P114" s="150"/>
      <c r="Q114" s="151"/>
      <c r="R114" s="152"/>
      <c r="S114" s="153"/>
      <c r="T114" s="154"/>
      <c r="U114" s="170"/>
    </row>
    <row r="115" spans="1:21" outlineLevel="1" x14ac:dyDescent="0.2">
      <c r="A115" s="118"/>
      <c r="C115" t="s">
        <v>434</v>
      </c>
      <c r="F115" s="195"/>
      <c r="G115" s="166"/>
      <c r="H115" s="83"/>
      <c r="I115" s="83"/>
      <c r="J115" s="83"/>
      <c r="K115" s="15"/>
      <c r="L115" s="167">
        <f t="shared" ref="L115:L130" si="60">+H115</f>
        <v>0</v>
      </c>
      <c r="M115" s="148">
        <f t="shared" ref="M115:M130" si="61">IF(I115=0,0,I115-H115)</f>
        <v>0</v>
      </c>
      <c r="N115" s="148">
        <f t="shared" ref="N115:O130" si="62">IF(J115=0,0,J115-I115)</f>
        <v>0</v>
      </c>
      <c r="O115" s="148">
        <f t="shared" si="62"/>
        <v>0</v>
      </c>
      <c r="P115" s="150">
        <f t="shared" ref="P115:P130" si="63">SUM(L115:O115)</f>
        <v>0</v>
      </c>
      <c r="Q115" s="151"/>
      <c r="R115" s="152">
        <f t="shared" ref="R115:R130" si="64">P115-Q115</f>
        <v>0</v>
      </c>
      <c r="S115" s="173" t="str">
        <f t="shared" ref="S115:S130" si="65">IF(Q115=0,"",P115/Q115)</f>
        <v/>
      </c>
      <c r="T115" s="154">
        <f t="shared" ref="T115:T130" si="66">P115-G115</f>
        <v>0</v>
      </c>
      <c r="U115" s="170" t="str">
        <f t="shared" ref="U115:U130" si="67">IF(G115=0,"",P115/G115)</f>
        <v/>
      </c>
    </row>
    <row r="116" spans="1:21" outlineLevel="1" x14ac:dyDescent="0.2">
      <c r="A116" s="118"/>
      <c r="C116" t="s">
        <v>435</v>
      </c>
      <c r="F116" s="195"/>
      <c r="G116" s="166">
        <v>8676</v>
      </c>
      <c r="H116" s="83"/>
      <c r="I116" s="83"/>
      <c r="J116" s="83"/>
      <c r="K116" s="15"/>
      <c r="L116" s="167">
        <f t="shared" si="60"/>
        <v>0</v>
      </c>
      <c r="M116" s="148">
        <f t="shared" si="61"/>
        <v>0</v>
      </c>
      <c r="N116" s="148">
        <f t="shared" si="62"/>
        <v>0</v>
      </c>
      <c r="O116" s="148">
        <f t="shared" si="62"/>
        <v>0</v>
      </c>
      <c r="P116" s="150">
        <f t="shared" si="63"/>
        <v>0</v>
      </c>
      <c r="Q116" s="151"/>
      <c r="R116" s="152">
        <f t="shared" si="64"/>
        <v>0</v>
      </c>
      <c r="S116" s="173" t="str">
        <f t="shared" si="65"/>
        <v/>
      </c>
      <c r="T116" s="154">
        <f t="shared" si="66"/>
        <v>-8676</v>
      </c>
      <c r="U116" s="170">
        <f t="shared" si="67"/>
        <v>0</v>
      </c>
    </row>
    <row r="117" spans="1:21" outlineLevel="1" x14ac:dyDescent="0.2">
      <c r="A117" s="118"/>
      <c r="C117" t="s">
        <v>436</v>
      </c>
      <c r="F117" s="195"/>
      <c r="G117" s="166"/>
      <c r="H117" s="83"/>
      <c r="I117" s="83"/>
      <c r="J117" s="83"/>
      <c r="K117" s="15"/>
      <c r="L117" s="167">
        <f t="shared" si="60"/>
        <v>0</v>
      </c>
      <c r="M117" s="148">
        <f t="shared" si="61"/>
        <v>0</v>
      </c>
      <c r="N117" s="148">
        <f t="shared" si="62"/>
        <v>0</v>
      </c>
      <c r="O117" s="148">
        <f t="shared" si="62"/>
        <v>0</v>
      </c>
      <c r="P117" s="150">
        <f t="shared" si="63"/>
        <v>0</v>
      </c>
      <c r="Q117" s="151"/>
      <c r="R117" s="152">
        <f t="shared" si="64"/>
        <v>0</v>
      </c>
      <c r="S117" s="173" t="str">
        <f t="shared" si="65"/>
        <v/>
      </c>
      <c r="T117" s="154">
        <f t="shared" si="66"/>
        <v>0</v>
      </c>
      <c r="U117" s="170" t="str">
        <f t="shared" si="67"/>
        <v/>
      </c>
    </row>
    <row r="118" spans="1:21" outlineLevel="1" x14ac:dyDescent="0.2">
      <c r="A118" s="118"/>
      <c r="C118" s="116" t="s">
        <v>276</v>
      </c>
      <c r="F118" s="195"/>
      <c r="G118" s="166"/>
      <c r="H118" s="83"/>
      <c r="I118" s="83">
        <v>27851</v>
      </c>
      <c r="J118" s="83">
        <v>38119</v>
      </c>
      <c r="K118" s="15">
        <v>38119</v>
      </c>
      <c r="L118" s="167">
        <f t="shared" si="60"/>
        <v>0</v>
      </c>
      <c r="M118" s="148">
        <f t="shared" si="61"/>
        <v>27851</v>
      </c>
      <c r="N118" s="148">
        <f t="shared" si="62"/>
        <v>10268</v>
      </c>
      <c r="O118" s="148">
        <f t="shared" si="62"/>
        <v>0</v>
      </c>
      <c r="P118" s="150">
        <f t="shared" si="63"/>
        <v>38119</v>
      </c>
      <c r="Q118" s="151">
        <v>40000</v>
      </c>
      <c r="R118" s="152">
        <f t="shared" si="64"/>
        <v>-1881</v>
      </c>
      <c r="S118" s="173">
        <f t="shared" si="65"/>
        <v>0.95297500000000002</v>
      </c>
      <c r="T118" s="154">
        <f t="shared" si="66"/>
        <v>38119</v>
      </c>
      <c r="U118" s="170" t="str">
        <f t="shared" si="67"/>
        <v/>
      </c>
    </row>
    <row r="119" spans="1:21" outlineLevel="1" x14ac:dyDescent="0.2">
      <c r="A119" s="118"/>
      <c r="C119" s="116" t="s">
        <v>277</v>
      </c>
      <c r="F119" s="195"/>
      <c r="G119" s="166"/>
      <c r="H119" s="83"/>
      <c r="I119" s="83"/>
      <c r="J119" s="83"/>
      <c r="K119" s="15"/>
      <c r="L119" s="167">
        <f t="shared" si="60"/>
        <v>0</v>
      </c>
      <c r="M119" s="148">
        <f t="shared" si="61"/>
        <v>0</v>
      </c>
      <c r="N119" s="148">
        <f t="shared" si="62"/>
        <v>0</v>
      </c>
      <c r="O119" s="148">
        <f t="shared" si="62"/>
        <v>0</v>
      </c>
      <c r="P119" s="150">
        <f t="shared" si="63"/>
        <v>0</v>
      </c>
      <c r="Q119" s="151">
        <v>500</v>
      </c>
      <c r="R119" s="152">
        <f t="shared" si="64"/>
        <v>-500</v>
      </c>
      <c r="S119" s="173">
        <f t="shared" si="65"/>
        <v>0</v>
      </c>
      <c r="T119" s="154">
        <f t="shared" si="66"/>
        <v>0</v>
      </c>
      <c r="U119" s="170" t="str">
        <f t="shared" si="67"/>
        <v/>
      </c>
    </row>
    <row r="120" spans="1:21" outlineLevel="1" x14ac:dyDescent="0.2">
      <c r="A120" s="118"/>
      <c r="C120" s="116" t="s">
        <v>278</v>
      </c>
      <c r="F120" s="195"/>
      <c r="G120" s="166"/>
      <c r="H120" s="83"/>
      <c r="I120" s="83"/>
      <c r="J120" s="83"/>
      <c r="K120" s="15"/>
      <c r="L120" s="167">
        <f t="shared" si="60"/>
        <v>0</v>
      </c>
      <c r="M120" s="148">
        <f t="shared" si="61"/>
        <v>0</v>
      </c>
      <c r="N120" s="148">
        <f t="shared" si="62"/>
        <v>0</v>
      </c>
      <c r="O120" s="148">
        <f t="shared" si="62"/>
        <v>0</v>
      </c>
      <c r="P120" s="150">
        <f t="shared" si="63"/>
        <v>0</v>
      </c>
      <c r="Q120" s="151"/>
      <c r="R120" s="152">
        <f t="shared" si="64"/>
        <v>0</v>
      </c>
      <c r="S120" s="173" t="str">
        <f t="shared" si="65"/>
        <v/>
      </c>
      <c r="T120" s="154">
        <f t="shared" si="66"/>
        <v>0</v>
      </c>
      <c r="U120" s="170" t="str">
        <f t="shared" si="67"/>
        <v/>
      </c>
    </row>
    <row r="121" spans="1:21" outlineLevel="1" x14ac:dyDescent="0.2">
      <c r="A121" s="118"/>
      <c r="C121" s="116" t="s">
        <v>279</v>
      </c>
      <c r="F121" s="195"/>
      <c r="G121" s="166"/>
      <c r="H121" s="83"/>
      <c r="I121" s="83"/>
      <c r="J121" s="83"/>
      <c r="K121" s="15"/>
      <c r="L121" s="167">
        <f t="shared" si="60"/>
        <v>0</v>
      </c>
      <c r="M121" s="148">
        <f t="shared" si="61"/>
        <v>0</v>
      </c>
      <c r="N121" s="148">
        <f t="shared" si="62"/>
        <v>0</v>
      </c>
      <c r="O121" s="148">
        <f t="shared" si="62"/>
        <v>0</v>
      </c>
      <c r="P121" s="150">
        <f t="shared" si="63"/>
        <v>0</v>
      </c>
      <c r="Q121" s="151"/>
      <c r="R121" s="152">
        <f t="shared" si="64"/>
        <v>0</v>
      </c>
      <c r="S121" s="173" t="str">
        <f t="shared" si="65"/>
        <v/>
      </c>
      <c r="T121" s="154">
        <f t="shared" si="66"/>
        <v>0</v>
      </c>
      <c r="U121" s="170" t="str">
        <f t="shared" si="67"/>
        <v/>
      </c>
    </row>
    <row r="122" spans="1:21" outlineLevel="1" x14ac:dyDescent="0.2">
      <c r="A122" s="118"/>
      <c r="C122" s="116" t="s">
        <v>280</v>
      </c>
      <c r="F122" s="195"/>
      <c r="G122" s="166"/>
      <c r="H122" s="83"/>
      <c r="I122" s="83"/>
      <c r="J122" s="83"/>
      <c r="K122" s="15"/>
      <c r="L122" s="167">
        <f t="shared" si="60"/>
        <v>0</v>
      </c>
      <c r="M122" s="148">
        <f t="shared" si="61"/>
        <v>0</v>
      </c>
      <c r="N122" s="148">
        <f t="shared" si="62"/>
        <v>0</v>
      </c>
      <c r="O122" s="148">
        <f t="shared" si="62"/>
        <v>0</v>
      </c>
      <c r="P122" s="150">
        <f t="shared" si="63"/>
        <v>0</v>
      </c>
      <c r="Q122" s="151"/>
      <c r="R122" s="152">
        <f t="shared" si="64"/>
        <v>0</v>
      </c>
      <c r="S122" s="173" t="str">
        <f t="shared" si="65"/>
        <v/>
      </c>
      <c r="T122" s="154">
        <f t="shared" si="66"/>
        <v>0</v>
      </c>
      <c r="U122" s="170" t="str">
        <f t="shared" si="67"/>
        <v/>
      </c>
    </row>
    <row r="123" spans="1:21" outlineLevel="1" x14ac:dyDescent="0.2">
      <c r="A123" s="118"/>
      <c r="C123" s="116" t="s">
        <v>418</v>
      </c>
      <c r="F123" s="195"/>
      <c r="G123" s="166"/>
      <c r="H123" s="83"/>
      <c r="I123" s="83"/>
      <c r="J123" s="83"/>
      <c r="K123" s="15"/>
      <c r="L123" s="167">
        <f t="shared" si="60"/>
        <v>0</v>
      </c>
      <c r="M123" s="148">
        <f t="shared" si="61"/>
        <v>0</v>
      </c>
      <c r="N123" s="148">
        <f t="shared" si="62"/>
        <v>0</v>
      </c>
      <c r="O123" s="148">
        <f t="shared" si="62"/>
        <v>0</v>
      </c>
      <c r="P123" s="150">
        <f t="shared" si="63"/>
        <v>0</v>
      </c>
      <c r="Q123" s="151"/>
      <c r="R123" s="152">
        <f t="shared" si="64"/>
        <v>0</v>
      </c>
      <c r="S123" s="173" t="str">
        <f t="shared" si="65"/>
        <v/>
      </c>
      <c r="T123" s="154">
        <f t="shared" si="66"/>
        <v>0</v>
      </c>
      <c r="U123" s="170" t="str">
        <f t="shared" si="67"/>
        <v/>
      </c>
    </row>
    <row r="124" spans="1:21" outlineLevel="1" x14ac:dyDescent="0.2">
      <c r="A124" s="118"/>
      <c r="C124" s="116" t="s">
        <v>419</v>
      </c>
      <c r="F124" s="195"/>
      <c r="G124" s="166"/>
      <c r="H124" s="83"/>
      <c r="I124" s="83"/>
      <c r="J124" s="83"/>
      <c r="K124" s="15"/>
      <c r="L124" s="167">
        <f t="shared" si="60"/>
        <v>0</v>
      </c>
      <c r="M124" s="148">
        <f t="shared" si="61"/>
        <v>0</v>
      </c>
      <c r="N124" s="148">
        <f t="shared" si="62"/>
        <v>0</v>
      </c>
      <c r="O124" s="148">
        <f t="shared" si="62"/>
        <v>0</v>
      </c>
      <c r="P124" s="150">
        <f t="shared" si="63"/>
        <v>0</v>
      </c>
      <c r="Q124" s="151"/>
      <c r="R124" s="152">
        <f t="shared" si="64"/>
        <v>0</v>
      </c>
      <c r="S124" s="173" t="str">
        <f t="shared" si="65"/>
        <v/>
      </c>
      <c r="T124" s="154">
        <f t="shared" si="66"/>
        <v>0</v>
      </c>
      <c r="U124" s="170" t="str">
        <f t="shared" si="67"/>
        <v/>
      </c>
    </row>
    <row r="125" spans="1:21" outlineLevel="1" x14ac:dyDescent="0.2">
      <c r="A125" s="118"/>
      <c r="C125" s="116" t="s">
        <v>110</v>
      </c>
      <c r="F125" s="195"/>
      <c r="G125" s="166"/>
      <c r="H125" s="83"/>
      <c r="I125" s="83"/>
      <c r="J125" s="83"/>
      <c r="K125" s="15"/>
      <c r="L125" s="167">
        <f t="shared" si="60"/>
        <v>0</v>
      </c>
      <c r="M125" s="148">
        <f t="shared" si="61"/>
        <v>0</v>
      </c>
      <c r="N125" s="148">
        <f t="shared" si="62"/>
        <v>0</v>
      </c>
      <c r="O125" s="148">
        <f t="shared" si="62"/>
        <v>0</v>
      </c>
      <c r="P125" s="150">
        <f t="shared" si="63"/>
        <v>0</v>
      </c>
      <c r="Q125" s="151"/>
      <c r="R125" s="152">
        <f t="shared" si="64"/>
        <v>0</v>
      </c>
      <c r="S125" s="173" t="str">
        <f t="shared" si="65"/>
        <v/>
      </c>
      <c r="T125" s="154">
        <f t="shared" si="66"/>
        <v>0</v>
      </c>
      <c r="U125" s="170" t="str">
        <f t="shared" si="67"/>
        <v/>
      </c>
    </row>
    <row r="126" spans="1:21" outlineLevel="1" x14ac:dyDescent="0.2">
      <c r="A126" s="118"/>
      <c r="C126" s="116" t="s">
        <v>420</v>
      </c>
      <c r="F126" s="195"/>
      <c r="G126" s="166"/>
      <c r="H126" s="83"/>
      <c r="I126" s="83"/>
      <c r="J126" s="83"/>
      <c r="K126" s="15"/>
      <c r="L126" s="167">
        <f t="shared" si="60"/>
        <v>0</v>
      </c>
      <c r="M126" s="148">
        <f t="shared" si="61"/>
        <v>0</v>
      </c>
      <c r="N126" s="148">
        <f t="shared" si="62"/>
        <v>0</v>
      </c>
      <c r="O126" s="148">
        <f t="shared" si="62"/>
        <v>0</v>
      </c>
      <c r="P126" s="150">
        <f t="shared" si="63"/>
        <v>0</v>
      </c>
      <c r="Q126" s="151"/>
      <c r="R126" s="152">
        <f t="shared" si="64"/>
        <v>0</v>
      </c>
      <c r="S126" s="173" t="str">
        <f t="shared" si="65"/>
        <v/>
      </c>
      <c r="T126" s="154">
        <f t="shared" si="66"/>
        <v>0</v>
      </c>
      <c r="U126" s="170" t="str">
        <f t="shared" si="67"/>
        <v/>
      </c>
    </row>
    <row r="127" spans="1:21" outlineLevel="1" x14ac:dyDescent="0.2">
      <c r="A127" s="118"/>
      <c r="C127" s="116" t="s">
        <v>421</v>
      </c>
      <c r="F127" s="195"/>
      <c r="G127" s="166"/>
      <c r="H127" s="83"/>
      <c r="I127" s="83"/>
      <c r="J127" s="83"/>
      <c r="K127" s="15"/>
      <c r="L127" s="167">
        <f t="shared" si="60"/>
        <v>0</v>
      </c>
      <c r="M127" s="148">
        <f t="shared" si="61"/>
        <v>0</v>
      </c>
      <c r="N127" s="148">
        <f t="shared" si="62"/>
        <v>0</v>
      </c>
      <c r="O127" s="148">
        <f t="shared" si="62"/>
        <v>0</v>
      </c>
      <c r="P127" s="150">
        <f t="shared" si="63"/>
        <v>0</v>
      </c>
      <c r="Q127" s="151"/>
      <c r="R127" s="152">
        <f t="shared" si="64"/>
        <v>0</v>
      </c>
      <c r="S127" s="173" t="str">
        <f t="shared" si="65"/>
        <v/>
      </c>
      <c r="T127" s="154">
        <f t="shared" si="66"/>
        <v>0</v>
      </c>
      <c r="U127" s="170" t="str">
        <f t="shared" si="67"/>
        <v/>
      </c>
    </row>
    <row r="128" spans="1:21" outlineLevel="1" x14ac:dyDescent="0.2">
      <c r="A128" s="118"/>
      <c r="C128" s="116" t="s">
        <v>422</v>
      </c>
      <c r="F128" s="195"/>
      <c r="G128" s="166"/>
      <c r="H128" s="83"/>
      <c r="I128" s="83"/>
      <c r="J128" s="83"/>
      <c r="K128" s="15"/>
      <c r="L128" s="167">
        <f t="shared" si="60"/>
        <v>0</v>
      </c>
      <c r="M128" s="148">
        <f t="shared" si="61"/>
        <v>0</v>
      </c>
      <c r="N128" s="148">
        <f t="shared" si="62"/>
        <v>0</v>
      </c>
      <c r="O128" s="148">
        <f t="shared" si="62"/>
        <v>0</v>
      </c>
      <c r="P128" s="150">
        <f t="shared" si="63"/>
        <v>0</v>
      </c>
      <c r="Q128" s="151"/>
      <c r="R128" s="152">
        <f t="shared" si="64"/>
        <v>0</v>
      </c>
      <c r="S128" s="173" t="str">
        <f t="shared" si="65"/>
        <v/>
      </c>
      <c r="T128" s="154">
        <f t="shared" si="66"/>
        <v>0</v>
      </c>
      <c r="U128" s="170" t="str">
        <f t="shared" si="67"/>
        <v/>
      </c>
    </row>
    <row r="129" spans="1:21" outlineLevel="1" x14ac:dyDescent="0.2">
      <c r="A129" s="118"/>
      <c r="C129" s="116" t="s">
        <v>423</v>
      </c>
      <c r="F129" s="195"/>
      <c r="G129" s="166"/>
      <c r="H129" s="83"/>
      <c r="I129" s="83"/>
      <c r="J129" s="83"/>
      <c r="K129" s="15"/>
      <c r="L129" s="167">
        <f t="shared" si="60"/>
        <v>0</v>
      </c>
      <c r="M129" s="148">
        <f t="shared" si="61"/>
        <v>0</v>
      </c>
      <c r="N129" s="148">
        <f t="shared" si="62"/>
        <v>0</v>
      </c>
      <c r="O129" s="148">
        <f t="shared" si="62"/>
        <v>0</v>
      </c>
      <c r="P129" s="150">
        <f t="shared" si="63"/>
        <v>0</v>
      </c>
      <c r="Q129" s="151"/>
      <c r="R129" s="152">
        <f t="shared" si="64"/>
        <v>0</v>
      </c>
      <c r="S129" s="173" t="str">
        <f t="shared" si="65"/>
        <v/>
      </c>
      <c r="T129" s="154">
        <f t="shared" si="66"/>
        <v>0</v>
      </c>
      <c r="U129" s="170" t="str">
        <f t="shared" si="67"/>
        <v/>
      </c>
    </row>
    <row r="130" spans="1:21" outlineLevel="1" x14ac:dyDescent="0.2">
      <c r="A130" s="118"/>
      <c r="C130" s="116" t="s">
        <v>437</v>
      </c>
      <c r="F130" s="195"/>
      <c r="G130" s="166"/>
      <c r="H130" s="83"/>
      <c r="I130" s="83"/>
      <c r="J130" s="83"/>
      <c r="K130" s="15"/>
      <c r="L130" s="167">
        <f t="shared" si="60"/>
        <v>0</v>
      </c>
      <c r="M130" s="148">
        <f t="shared" si="61"/>
        <v>0</v>
      </c>
      <c r="N130" s="148">
        <f t="shared" si="62"/>
        <v>0</v>
      </c>
      <c r="O130" s="148">
        <f t="shared" si="62"/>
        <v>0</v>
      </c>
      <c r="P130" s="150">
        <f t="shared" si="63"/>
        <v>0</v>
      </c>
      <c r="Q130" s="151"/>
      <c r="R130" s="152">
        <f t="shared" si="64"/>
        <v>0</v>
      </c>
      <c r="S130" s="173" t="str">
        <f t="shared" si="65"/>
        <v/>
      </c>
      <c r="T130" s="154">
        <f t="shared" si="66"/>
        <v>0</v>
      </c>
      <c r="U130" s="170" t="str">
        <f t="shared" si="67"/>
        <v/>
      </c>
    </row>
    <row r="131" spans="1:21" outlineLevel="1" x14ac:dyDescent="0.2">
      <c r="A131" s="118"/>
      <c r="F131" s="195"/>
      <c r="G131" s="166"/>
      <c r="H131" s="83"/>
      <c r="I131" s="83"/>
      <c r="J131" s="83"/>
      <c r="K131" s="15"/>
      <c r="L131" s="167"/>
      <c r="M131" s="148"/>
      <c r="N131" s="148"/>
      <c r="O131" s="148"/>
      <c r="P131" s="150"/>
      <c r="Q131" s="151"/>
      <c r="R131" s="152"/>
      <c r="S131" s="153"/>
      <c r="T131" s="154"/>
      <c r="U131" s="170"/>
    </row>
    <row r="132" spans="1:21" x14ac:dyDescent="0.2">
      <c r="A132" s="118"/>
      <c r="C132" s="118" t="s">
        <v>305</v>
      </c>
      <c r="F132" s="195"/>
      <c r="G132" s="157">
        <f>SUM(G115:G131)</f>
        <v>8676</v>
      </c>
      <c r="H132" s="260">
        <f>SUM(H115:H131)</f>
        <v>0</v>
      </c>
      <c r="I132" s="84">
        <f>SUM(I115:I131)</f>
        <v>27851</v>
      </c>
      <c r="J132" s="260">
        <f>SUM(J115:J131)</f>
        <v>38119</v>
      </c>
      <c r="K132" s="280">
        <f>SUM(K115:K131)</f>
        <v>38119</v>
      </c>
      <c r="L132" s="159">
        <f t="shared" ref="L132:R132" si="68">SUM(L115:L131)</f>
        <v>0</v>
      </c>
      <c r="M132" s="158">
        <f t="shared" si="68"/>
        <v>27851</v>
      </c>
      <c r="N132" s="158">
        <f t="shared" si="68"/>
        <v>10268</v>
      </c>
      <c r="O132" s="158">
        <f t="shared" si="68"/>
        <v>0</v>
      </c>
      <c r="P132" s="160">
        <f t="shared" si="68"/>
        <v>38119</v>
      </c>
      <c r="Q132" s="161">
        <f t="shared" si="68"/>
        <v>40500</v>
      </c>
      <c r="R132" s="162">
        <f t="shared" si="68"/>
        <v>-2381</v>
      </c>
      <c r="S132" s="171">
        <f>IF(Q132=0,"",P132/Q132)</f>
        <v>0.94120987654320987</v>
      </c>
      <c r="T132" s="164">
        <f>SUM(T115:T131)</f>
        <v>29443</v>
      </c>
      <c r="U132" s="205">
        <f>IF(G132=0,"",P132/G132)</f>
        <v>4.3936145689257726</v>
      </c>
    </row>
    <row r="133" spans="1:21" x14ac:dyDescent="0.2">
      <c r="A133" s="118"/>
      <c r="F133" s="195"/>
      <c r="G133" s="166"/>
      <c r="H133" s="83"/>
      <c r="I133" s="83"/>
      <c r="J133" s="83"/>
      <c r="K133" s="15"/>
      <c r="L133" s="167"/>
      <c r="M133" s="148"/>
      <c r="N133" s="148"/>
      <c r="O133" s="148"/>
      <c r="P133" s="150"/>
      <c r="Q133" s="151"/>
      <c r="R133" s="152"/>
      <c r="S133" s="153"/>
      <c r="T133" s="154"/>
      <c r="U133" s="170"/>
    </row>
    <row r="134" spans="1:21" x14ac:dyDescent="0.2">
      <c r="B134" s="118" t="s">
        <v>300</v>
      </c>
      <c r="F134" s="195"/>
      <c r="G134" s="166"/>
      <c r="H134" s="83"/>
      <c r="I134" s="83"/>
      <c r="J134" s="83"/>
      <c r="K134" s="15"/>
      <c r="L134" s="167"/>
      <c r="M134" s="148"/>
      <c r="N134" s="148"/>
      <c r="O134" s="148"/>
      <c r="P134" s="150"/>
      <c r="Q134" s="151"/>
      <c r="R134" s="152">
        <f>P134-Q134</f>
        <v>0</v>
      </c>
      <c r="S134" s="173" t="str">
        <f>IF(Q134=0,"",P134/Q134)</f>
        <v/>
      </c>
      <c r="T134" s="154">
        <f>P134-G134</f>
        <v>0</v>
      </c>
      <c r="U134" s="170" t="str">
        <f>IF(G134=0,"",P134/G134)</f>
        <v/>
      </c>
    </row>
    <row r="135" spans="1:21" x14ac:dyDescent="0.2">
      <c r="C135" s="116" t="s">
        <v>306</v>
      </c>
      <c r="F135" s="195"/>
      <c r="G135" s="166">
        <v>5446</v>
      </c>
      <c r="H135" s="261"/>
      <c r="I135" s="83">
        <v>5335</v>
      </c>
      <c r="J135" s="83">
        <v>5335</v>
      </c>
      <c r="K135" s="15">
        <v>5335</v>
      </c>
      <c r="L135" s="167">
        <f>+H135</f>
        <v>0</v>
      </c>
      <c r="M135" s="148">
        <f>IF(I135=0,0,I135-H135)</f>
        <v>5335</v>
      </c>
      <c r="N135" s="148">
        <f t="shared" ref="N135:O138" si="69">IF(J135=0,0,J135-I135)</f>
        <v>0</v>
      </c>
      <c r="O135" s="148">
        <f t="shared" si="69"/>
        <v>0</v>
      </c>
      <c r="P135" s="150">
        <f>SUM(L135:O135)</f>
        <v>5335</v>
      </c>
      <c r="Q135" s="151">
        <v>5500</v>
      </c>
      <c r="R135" s="152">
        <f>P135-Q135</f>
        <v>-165</v>
      </c>
      <c r="S135" s="173">
        <f>IF(Q135=0,"",P135/Q135)</f>
        <v>0.97</v>
      </c>
      <c r="T135" s="154">
        <f>P135-G135</f>
        <v>-111</v>
      </c>
      <c r="U135" s="170">
        <f>IF(G135=0,"",P135/G135)</f>
        <v>0.97961806830701437</v>
      </c>
    </row>
    <row r="136" spans="1:21" x14ac:dyDescent="0.2">
      <c r="C136" s="116" t="s">
        <v>307</v>
      </c>
      <c r="F136" s="195"/>
      <c r="G136" s="166"/>
      <c r="H136" s="261"/>
      <c r="I136" s="83"/>
      <c r="J136" s="83"/>
      <c r="K136" s="15"/>
      <c r="L136" s="167">
        <f>+H136</f>
        <v>0</v>
      </c>
      <c r="M136" s="148">
        <f>IF(I136=0,0,I136-H136)</f>
        <v>0</v>
      </c>
      <c r="N136" s="148">
        <f t="shared" si="69"/>
        <v>0</v>
      </c>
      <c r="O136" s="148">
        <f t="shared" si="69"/>
        <v>0</v>
      </c>
      <c r="P136" s="150">
        <f>SUM(L136:O136)</f>
        <v>0</v>
      </c>
      <c r="Q136" s="151"/>
      <c r="R136" s="152">
        <f>P136-Q136</f>
        <v>0</v>
      </c>
      <c r="S136" s="173" t="str">
        <f>IF(Q136=0,"",P136/Q136)</f>
        <v/>
      </c>
      <c r="T136" s="154">
        <f>P136-G136</f>
        <v>0</v>
      </c>
      <c r="U136" s="170" t="str">
        <f>IF(G136=0,"",P136/G136)</f>
        <v/>
      </c>
    </row>
    <row r="137" spans="1:21" x14ac:dyDescent="0.2">
      <c r="C137" s="116" t="s">
        <v>308</v>
      </c>
      <c r="F137" s="195"/>
      <c r="G137" s="166"/>
      <c r="H137" s="261"/>
      <c r="I137" s="85"/>
      <c r="J137" s="261"/>
      <c r="K137" s="15"/>
      <c r="L137" s="167">
        <f>+H137</f>
        <v>0</v>
      </c>
      <c r="M137" s="148">
        <f>IF(I137=0,0,I137-H137)</f>
        <v>0</v>
      </c>
      <c r="N137" s="148">
        <f t="shared" si="69"/>
        <v>0</v>
      </c>
      <c r="O137" s="148">
        <f t="shared" si="69"/>
        <v>0</v>
      </c>
      <c r="P137" s="150">
        <f>SUM(L137:O137)</f>
        <v>0</v>
      </c>
      <c r="Q137" s="151"/>
      <c r="R137" s="152">
        <f>P137-Q137</f>
        <v>0</v>
      </c>
      <c r="S137" s="173" t="str">
        <f>IF(Q137=0,"",P137/Q137)</f>
        <v/>
      </c>
      <c r="T137" s="154">
        <f>P137-G137</f>
        <v>0</v>
      </c>
      <c r="U137" s="170" t="str">
        <f>IF(G137=0,"",P137/G137)</f>
        <v/>
      </c>
    </row>
    <row r="138" spans="1:21" x14ac:dyDescent="0.2">
      <c r="C138" s="116" t="s">
        <v>309</v>
      </c>
      <c r="F138" s="195"/>
      <c r="G138" s="166"/>
      <c r="H138" s="261"/>
      <c r="I138" s="85"/>
      <c r="J138" s="261"/>
      <c r="K138" s="15"/>
      <c r="L138" s="167">
        <f>+H138</f>
        <v>0</v>
      </c>
      <c r="M138" s="148">
        <f>IF(I138=0,0,I138-H138)</f>
        <v>0</v>
      </c>
      <c r="N138" s="148">
        <f t="shared" si="69"/>
        <v>0</v>
      </c>
      <c r="O138" s="148">
        <f t="shared" si="69"/>
        <v>0</v>
      </c>
      <c r="P138" s="150">
        <f>SUM(L138:O138)</f>
        <v>0</v>
      </c>
      <c r="Q138" s="151"/>
      <c r="R138" s="152">
        <f>P138-Q138</f>
        <v>0</v>
      </c>
      <c r="S138" s="173" t="str">
        <f>IF(Q138=0,"",P138/Q138)</f>
        <v/>
      </c>
      <c r="T138" s="154">
        <f>P138-G138</f>
        <v>0</v>
      </c>
      <c r="U138" s="170" t="str">
        <f>IF(G138=0,"",P138/G138)</f>
        <v/>
      </c>
    </row>
    <row r="139" spans="1:21" x14ac:dyDescent="0.2">
      <c r="F139" s="195"/>
      <c r="G139" s="166"/>
      <c r="H139" s="83"/>
      <c r="I139" s="83"/>
      <c r="J139" s="83"/>
      <c r="K139" s="15"/>
      <c r="L139" s="167"/>
      <c r="M139" s="148"/>
      <c r="N139" s="148"/>
      <c r="O139" s="148"/>
      <c r="P139" s="150"/>
      <c r="Q139" s="151"/>
      <c r="R139" s="152"/>
      <c r="S139" s="153"/>
      <c r="T139" s="154"/>
      <c r="U139" s="170"/>
    </row>
    <row r="140" spans="1:21" x14ac:dyDescent="0.2">
      <c r="C140" s="118" t="s">
        <v>310</v>
      </c>
      <c r="F140" s="195">
        <v>8520</v>
      </c>
      <c r="G140" s="157">
        <f>SUM(G135:G139)</f>
        <v>5446</v>
      </c>
      <c r="H140" s="260">
        <f>SUM(H135:H139)</f>
        <v>0</v>
      </c>
      <c r="I140" s="84">
        <f>SUM(I135:I139)</f>
        <v>5335</v>
      </c>
      <c r="J140" s="260">
        <f>SUM(J135:J139)</f>
        <v>5335</v>
      </c>
      <c r="K140" s="280">
        <f>SUM(K135:K139)</f>
        <v>5335</v>
      </c>
      <c r="L140" s="159">
        <f t="shared" ref="L140:Q140" si="70">SUM(L135:L139)</f>
        <v>0</v>
      </c>
      <c r="M140" s="158">
        <f t="shared" si="70"/>
        <v>5335</v>
      </c>
      <c r="N140" s="158">
        <f t="shared" si="70"/>
        <v>0</v>
      </c>
      <c r="O140" s="158">
        <f t="shared" si="70"/>
        <v>0</v>
      </c>
      <c r="P140" s="160">
        <f t="shared" si="70"/>
        <v>5335</v>
      </c>
      <c r="Q140" s="161">
        <f t="shared" si="70"/>
        <v>5500</v>
      </c>
      <c r="R140" s="162">
        <f>SUM(R134:R139)</f>
        <v>-165</v>
      </c>
      <c r="S140" s="171">
        <f>IF(Q140=0,"",P140/Q140)</f>
        <v>0.97</v>
      </c>
      <c r="T140" s="164">
        <f>SUM(T134:T139)</f>
        <v>-111</v>
      </c>
      <c r="U140" s="205">
        <f>IF(G140=0,"",P140/G140)</f>
        <v>0.97961806830701437</v>
      </c>
    </row>
    <row r="141" spans="1:21" x14ac:dyDescent="0.2">
      <c r="F141" s="195"/>
      <c r="G141" s="166"/>
      <c r="H141" s="83"/>
      <c r="I141" s="83"/>
      <c r="J141" s="83"/>
      <c r="K141" s="15"/>
      <c r="L141" s="167"/>
      <c r="M141" s="148"/>
      <c r="N141" s="148"/>
      <c r="O141" s="148"/>
      <c r="P141" s="150"/>
      <c r="Q141" s="151"/>
      <c r="R141" s="152"/>
      <c r="S141" s="153"/>
      <c r="T141" s="154"/>
      <c r="U141" s="170"/>
    </row>
    <row r="142" spans="1:21" x14ac:dyDescent="0.2">
      <c r="B142" s="118" t="s">
        <v>298</v>
      </c>
      <c r="F142" s="195"/>
      <c r="G142" s="166"/>
      <c r="H142" s="83"/>
      <c r="I142" s="83"/>
      <c r="J142" s="83"/>
      <c r="K142" s="15"/>
      <c r="L142" s="167"/>
      <c r="M142" s="148"/>
      <c r="N142" s="148"/>
      <c r="O142" s="148"/>
      <c r="P142" s="150"/>
      <c r="Q142" s="151"/>
      <c r="R142" s="152"/>
      <c r="S142" s="153"/>
      <c r="T142" s="154"/>
      <c r="U142" s="170"/>
    </row>
    <row r="143" spans="1:21" x14ac:dyDescent="0.2">
      <c r="C143" s="116" t="s">
        <v>311</v>
      </c>
      <c r="F143" s="195">
        <v>8130</v>
      </c>
      <c r="G143" s="166">
        <v>1174</v>
      </c>
      <c r="H143" s="261">
        <v>299</v>
      </c>
      <c r="I143" s="83">
        <v>781</v>
      </c>
      <c r="J143" s="83">
        <v>1104</v>
      </c>
      <c r="K143" s="15">
        <v>1417</v>
      </c>
      <c r="L143" s="167">
        <f>+H143</f>
        <v>299</v>
      </c>
      <c r="M143" s="148">
        <f>IF(I143=0,0,I143-H143)</f>
        <v>482</v>
      </c>
      <c r="N143" s="148">
        <f t="shared" ref="N143:O147" si="71">IF(J143=0,0,J143-I143)</f>
        <v>323</v>
      </c>
      <c r="O143" s="148">
        <f t="shared" si="71"/>
        <v>313</v>
      </c>
      <c r="P143" s="150">
        <f>SUM(L143:O143)</f>
        <v>1417</v>
      </c>
      <c r="Q143" s="151">
        <v>7800</v>
      </c>
      <c r="R143" s="152">
        <f>P143-Q143</f>
        <v>-6383</v>
      </c>
      <c r="S143" s="173">
        <f>IF(Q143=0,"",P143/Q143)</f>
        <v>0.18166666666666667</v>
      </c>
      <c r="T143" s="154">
        <f>P143-G143</f>
        <v>243</v>
      </c>
      <c r="U143" s="170">
        <f>IF(G143=0,"",P143/G143)</f>
        <v>1.206984667802385</v>
      </c>
    </row>
    <row r="144" spans="1:21" x14ac:dyDescent="0.2">
      <c r="C144" s="116" t="s">
        <v>312</v>
      </c>
      <c r="F144" s="195">
        <v>8221</v>
      </c>
      <c r="G144" s="166">
        <v>2205</v>
      </c>
      <c r="H144" s="83">
        <v>526</v>
      </c>
      <c r="I144" s="83">
        <v>863</v>
      </c>
      <c r="J144" s="83">
        <v>1334</v>
      </c>
      <c r="K144" s="15">
        <v>1999</v>
      </c>
      <c r="L144" s="167">
        <f>+H144</f>
        <v>526</v>
      </c>
      <c r="M144" s="148">
        <f>IF(I144=0,0,I144-H144)</f>
        <v>337</v>
      </c>
      <c r="N144" s="148">
        <f t="shared" si="71"/>
        <v>471</v>
      </c>
      <c r="O144" s="148">
        <f t="shared" si="71"/>
        <v>665</v>
      </c>
      <c r="P144" s="150">
        <f>SUM(L144:O144)</f>
        <v>1999</v>
      </c>
      <c r="Q144" s="151"/>
      <c r="R144" s="152">
        <f>P144-Q144</f>
        <v>1999</v>
      </c>
      <c r="S144" s="173" t="str">
        <f>IF(Q144=0,"",P144/Q144)</f>
        <v/>
      </c>
      <c r="T144" s="154">
        <f>P144-G144</f>
        <v>-206</v>
      </c>
      <c r="U144" s="170">
        <f>IF(G144=0,"",P144/G144)</f>
        <v>0.90657596371882088</v>
      </c>
    </row>
    <row r="145" spans="2:21" x14ac:dyDescent="0.2">
      <c r="C145" s="116" t="s">
        <v>313</v>
      </c>
      <c r="F145" s="195">
        <v>8223</v>
      </c>
      <c r="G145" s="166">
        <v>4257</v>
      </c>
      <c r="H145" s="83">
        <v>578</v>
      </c>
      <c r="I145" s="83">
        <v>1445</v>
      </c>
      <c r="J145" s="83">
        <v>2372</v>
      </c>
      <c r="K145" s="15">
        <v>3239</v>
      </c>
      <c r="L145" s="167">
        <f>+H145</f>
        <v>578</v>
      </c>
      <c r="M145" s="148">
        <f>IF(I145=0,0,I145-H145)</f>
        <v>867</v>
      </c>
      <c r="N145" s="148">
        <f t="shared" si="71"/>
        <v>927</v>
      </c>
      <c r="O145" s="148">
        <f t="shared" si="71"/>
        <v>867</v>
      </c>
      <c r="P145" s="150">
        <f>SUM(L145:O145)</f>
        <v>3239</v>
      </c>
      <c r="Q145" s="151"/>
      <c r="R145" s="152">
        <f>P145-Q145</f>
        <v>3239</v>
      </c>
      <c r="S145" s="173" t="str">
        <f>IF(Q145=0,"",P145/Q145)</f>
        <v/>
      </c>
      <c r="T145" s="154">
        <f>P145-G145</f>
        <v>-1018</v>
      </c>
      <c r="U145" s="170">
        <f>IF(G145=0,"",P145/G145)</f>
        <v>0.76086445853887719</v>
      </c>
    </row>
    <row r="146" spans="2:21" x14ac:dyDescent="0.2">
      <c r="C146" s="116" t="s">
        <v>314</v>
      </c>
      <c r="F146" s="195"/>
      <c r="G146" s="166"/>
      <c r="H146" s="83"/>
      <c r="I146" s="83"/>
      <c r="J146" s="83"/>
      <c r="K146" s="15"/>
      <c r="L146" s="167">
        <f>+H146</f>
        <v>0</v>
      </c>
      <c r="M146" s="148">
        <f>IF(I146=0,0,I146-H146)</f>
        <v>0</v>
      </c>
      <c r="N146" s="148">
        <f t="shared" si="71"/>
        <v>0</v>
      </c>
      <c r="O146" s="148">
        <f t="shared" si="71"/>
        <v>0</v>
      </c>
      <c r="P146" s="150">
        <f>SUM(L146:O146)</f>
        <v>0</v>
      </c>
      <c r="Q146" s="151"/>
      <c r="R146" s="152">
        <f>P146-Q146</f>
        <v>0</v>
      </c>
      <c r="S146" s="173" t="str">
        <f>IF(Q146=0,"",P146/Q146)</f>
        <v/>
      </c>
      <c r="T146" s="154">
        <f>P146-G146</f>
        <v>0</v>
      </c>
      <c r="U146" s="170" t="str">
        <f>IF(G146=0,"",P146/G146)</f>
        <v/>
      </c>
    </row>
    <row r="147" spans="2:21" x14ac:dyDescent="0.2">
      <c r="C147" s="116" t="s">
        <v>315</v>
      </c>
      <c r="F147" s="195"/>
      <c r="G147" s="166"/>
      <c r="H147" s="83"/>
      <c r="I147" s="83"/>
      <c r="J147" s="83"/>
      <c r="K147" s="15"/>
      <c r="L147" s="167">
        <f>+H147</f>
        <v>0</v>
      </c>
      <c r="M147" s="148">
        <f>IF(I147=0,0,I147-H147)</f>
        <v>0</v>
      </c>
      <c r="N147" s="148">
        <f t="shared" si="71"/>
        <v>0</v>
      </c>
      <c r="O147" s="148">
        <f t="shared" si="71"/>
        <v>0</v>
      </c>
      <c r="P147" s="150">
        <f>SUM(L147:O147)</f>
        <v>0</v>
      </c>
      <c r="Q147" s="151"/>
      <c r="R147" s="152">
        <f>P147-Q147</f>
        <v>0</v>
      </c>
      <c r="S147" s="173" t="str">
        <f>IF(Q147=0,"",P147/Q147)</f>
        <v/>
      </c>
      <c r="T147" s="154">
        <f>P147-G147</f>
        <v>0</v>
      </c>
      <c r="U147" s="170" t="str">
        <f>IF(G147=0,"",P147/G147)</f>
        <v/>
      </c>
    </row>
    <row r="148" spans="2:21" x14ac:dyDescent="0.2">
      <c r="F148" s="195"/>
      <c r="G148" s="166"/>
      <c r="H148" s="83"/>
      <c r="I148" s="83"/>
      <c r="J148" s="83"/>
      <c r="K148" s="15"/>
      <c r="L148" s="167"/>
      <c r="M148" s="148"/>
      <c r="N148" s="148"/>
      <c r="O148" s="148"/>
      <c r="P148" s="150"/>
      <c r="Q148" s="151"/>
      <c r="R148" s="152"/>
      <c r="S148" s="153"/>
      <c r="T148" s="154"/>
      <c r="U148" s="170"/>
    </row>
    <row r="149" spans="2:21" x14ac:dyDescent="0.2">
      <c r="C149" s="118" t="s">
        <v>316</v>
      </c>
      <c r="F149" s="195"/>
      <c r="G149" s="157">
        <f>SUM(G143:G148)</f>
        <v>7636</v>
      </c>
      <c r="H149" s="260">
        <f>SUM(H143:H148)</f>
        <v>1403</v>
      </c>
      <c r="I149" s="84">
        <f t="shared" ref="I149:K149" si="72">SUM(I143:I148)</f>
        <v>3089</v>
      </c>
      <c r="J149" s="260">
        <f t="shared" si="72"/>
        <v>4810</v>
      </c>
      <c r="K149" s="280">
        <f t="shared" si="72"/>
        <v>6655</v>
      </c>
      <c r="L149" s="159">
        <f t="shared" ref="L149:R149" si="73">SUM(L143:L148)</f>
        <v>1403</v>
      </c>
      <c r="M149" s="158">
        <f t="shared" si="73"/>
        <v>1686</v>
      </c>
      <c r="N149" s="158">
        <f t="shared" si="73"/>
        <v>1721</v>
      </c>
      <c r="O149" s="158">
        <f t="shared" si="73"/>
        <v>1845</v>
      </c>
      <c r="P149" s="160">
        <f t="shared" si="73"/>
        <v>6655</v>
      </c>
      <c r="Q149" s="161">
        <f t="shared" si="73"/>
        <v>7800</v>
      </c>
      <c r="R149" s="162">
        <f t="shared" si="73"/>
        <v>-1145</v>
      </c>
      <c r="S149" s="171">
        <f>IF(Q149=0,"",P149/Q149)</f>
        <v>0.85320512820512817</v>
      </c>
      <c r="T149" s="164">
        <f>SUM(T143:T148)</f>
        <v>-981</v>
      </c>
      <c r="U149" s="205">
        <f>IF(G149=0,"",P149/G149)</f>
        <v>0.87152959664745944</v>
      </c>
    </row>
    <row r="150" spans="2:21" x14ac:dyDescent="0.2">
      <c r="F150" s="195"/>
      <c r="G150" s="166"/>
      <c r="H150" s="83"/>
      <c r="I150" s="83"/>
      <c r="J150" s="83"/>
      <c r="K150" s="15"/>
      <c r="L150" s="167"/>
      <c r="M150" s="148"/>
      <c r="N150" s="148"/>
      <c r="O150" s="148"/>
      <c r="P150" s="150"/>
      <c r="Q150" s="151"/>
      <c r="R150" s="152"/>
      <c r="S150" s="153"/>
      <c r="T150" s="154"/>
      <c r="U150" s="170"/>
    </row>
    <row r="151" spans="2:21" x14ac:dyDescent="0.2">
      <c r="B151" s="118" t="s">
        <v>299</v>
      </c>
      <c r="F151" s="195"/>
      <c r="G151" s="166"/>
      <c r="H151" s="83"/>
      <c r="I151" s="83"/>
      <c r="J151" s="83"/>
      <c r="K151" s="15"/>
      <c r="L151" s="167"/>
      <c r="M151" s="148"/>
      <c r="N151" s="148"/>
      <c r="O151" s="148"/>
      <c r="P151" s="150"/>
      <c r="Q151" s="151"/>
      <c r="R151" s="152"/>
      <c r="S151" s="153"/>
      <c r="T151" s="154"/>
      <c r="U151" s="170"/>
    </row>
    <row r="152" spans="2:21" x14ac:dyDescent="0.2">
      <c r="C152" s="116" t="s">
        <v>317</v>
      </c>
      <c r="F152" s="195" t="s">
        <v>318</v>
      </c>
      <c r="G152" s="166">
        <v>1579</v>
      </c>
      <c r="H152" s="83">
        <v>1149</v>
      </c>
      <c r="I152" s="83">
        <v>2019</v>
      </c>
      <c r="J152" s="83">
        <v>2496</v>
      </c>
      <c r="K152" s="15">
        <v>3789</v>
      </c>
      <c r="L152" s="167">
        <f t="shared" ref="L152:L157" si="74">+H152</f>
        <v>1149</v>
      </c>
      <c r="M152" s="148">
        <f t="shared" ref="M152:M157" si="75">IF(I152=0,0,I152-H152)</f>
        <v>870</v>
      </c>
      <c r="N152" s="148">
        <f t="shared" ref="N152:O156" si="76">IF(J152=0,0,J152-I152)</f>
        <v>477</v>
      </c>
      <c r="O152" s="148">
        <f t="shared" si="76"/>
        <v>1293</v>
      </c>
      <c r="P152" s="150">
        <f t="shared" ref="P152:P157" si="77">SUM(L152:O152)</f>
        <v>3789</v>
      </c>
      <c r="Q152" s="151">
        <v>5000</v>
      </c>
      <c r="R152" s="152">
        <f>P152-Q152</f>
        <v>-1211</v>
      </c>
      <c r="S152" s="173">
        <f>IF(Q152=0,"",P152/Q152)</f>
        <v>0.75780000000000003</v>
      </c>
      <c r="T152" s="154">
        <f>P152-G152</f>
        <v>2210</v>
      </c>
      <c r="U152" s="170">
        <f>IF(G152=0,"",P152/G152)</f>
        <v>2.3996200126662446</v>
      </c>
    </row>
    <row r="153" spans="2:21" x14ac:dyDescent="0.2">
      <c r="C153" s="116" t="s">
        <v>319</v>
      </c>
      <c r="F153" s="195" t="s">
        <v>320</v>
      </c>
      <c r="G153" s="166">
        <v>1580</v>
      </c>
      <c r="H153" s="83">
        <v>228</v>
      </c>
      <c r="I153" s="83">
        <v>678</v>
      </c>
      <c r="J153" s="83">
        <v>867</v>
      </c>
      <c r="K153" s="15">
        <v>1649</v>
      </c>
      <c r="L153" s="167">
        <f t="shared" si="74"/>
        <v>228</v>
      </c>
      <c r="M153" s="148">
        <f t="shared" si="75"/>
        <v>450</v>
      </c>
      <c r="N153" s="148">
        <f t="shared" si="76"/>
        <v>189</v>
      </c>
      <c r="O153" s="148">
        <f t="shared" si="76"/>
        <v>782</v>
      </c>
      <c r="P153" s="150">
        <f t="shared" si="77"/>
        <v>1649</v>
      </c>
      <c r="Q153" s="151"/>
      <c r="R153" s="152">
        <f>P153-Q153</f>
        <v>1649</v>
      </c>
      <c r="S153" s="173" t="str">
        <f>IF(Q153=0,"",P153/Q153)</f>
        <v/>
      </c>
      <c r="T153" s="154">
        <f>P153-G153</f>
        <v>69</v>
      </c>
      <c r="U153" s="170">
        <f>IF(G153=0,"",P153/G153)</f>
        <v>1.0436708860759494</v>
      </c>
    </row>
    <row r="154" spans="2:21" x14ac:dyDescent="0.2">
      <c r="C154" s="116" t="s">
        <v>170</v>
      </c>
      <c r="F154" s="195" t="s">
        <v>321</v>
      </c>
      <c r="G154" s="166">
        <v>953</v>
      </c>
      <c r="H154" s="83"/>
      <c r="I154" s="83">
        <v>385</v>
      </c>
      <c r="J154" s="83">
        <v>555</v>
      </c>
      <c r="K154" s="15">
        <f>702</f>
        <v>702</v>
      </c>
      <c r="L154" s="167">
        <f t="shared" si="74"/>
        <v>0</v>
      </c>
      <c r="M154" s="148">
        <f t="shared" si="75"/>
        <v>385</v>
      </c>
      <c r="N154" s="148">
        <f t="shared" si="76"/>
        <v>170</v>
      </c>
      <c r="O154" s="148">
        <f t="shared" si="76"/>
        <v>147</v>
      </c>
      <c r="P154" s="150">
        <f t="shared" si="77"/>
        <v>702</v>
      </c>
      <c r="Q154" s="151"/>
      <c r="R154" s="152">
        <f>P154-Q154</f>
        <v>702</v>
      </c>
      <c r="S154" s="173" t="str">
        <f>IF(Q154=0,"",P154/Q154)</f>
        <v/>
      </c>
      <c r="T154" s="154">
        <f>P154-G154</f>
        <v>-251</v>
      </c>
      <c r="U154" s="170">
        <f>IF(G154=0,"",P154/G154)</f>
        <v>0.73662119622245537</v>
      </c>
    </row>
    <row r="155" spans="2:21" x14ac:dyDescent="0.2">
      <c r="C155" s="116" t="s">
        <v>322</v>
      </c>
      <c r="F155" s="195" t="s">
        <v>323</v>
      </c>
      <c r="G155" s="166"/>
      <c r="H155" s="83"/>
      <c r="I155" s="83"/>
      <c r="J155" s="83"/>
      <c r="K155" s="15"/>
      <c r="L155" s="167">
        <f t="shared" si="74"/>
        <v>0</v>
      </c>
      <c r="M155" s="148">
        <f t="shared" si="75"/>
        <v>0</v>
      </c>
      <c r="N155" s="148">
        <f t="shared" si="76"/>
        <v>0</v>
      </c>
      <c r="O155" s="148">
        <f t="shared" si="76"/>
        <v>0</v>
      </c>
      <c r="P155" s="150">
        <f t="shared" si="77"/>
        <v>0</v>
      </c>
      <c r="Q155" s="151"/>
      <c r="R155" s="152">
        <f>P155-Q155</f>
        <v>0</v>
      </c>
      <c r="S155" s="173" t="str">
        <f>IF(Q155=0,"",P155/Q155)</f>
        <v/>
      </c>
      <c r="T155" s="154">
        <f>P155-G155</f>
        <v>0</v>
      </c>
      <c r="U155" s="170" t="str">
        <f>IF(G155=0,"",P155/G155)</f>
        <v/>
      </c>
    </row>
    <row r="156" spans="2:21" x14ac:dyDescent="0.2">
      <c r="C156" s="116" t="s">
        <v>315</v>
      </c>
      <c r="F156" s="195"/>
      <c r="G156" s="166">
        <v>1122</v>
      </c>
      <c r="H156" s="83"/>
      <c r="I156" s="83"/>
      <c r="J156" s="83"/>
      <c r="K156" s="15">
        <v>282</v>
      </c>
      <c r="L156" s="167">
        <f t="shared" si="74"/>
        <v>0</v>
      </c>
      <c r="M156" s="148">
        <f t="shared" si="75"/>
        <v>0</v>
      </c>
      <c r="N156" s="148">
        <f t="shared" si="76"/>
        <v>0</v>
      </c>
      <c r="O156" s="148">
        <f t="shared" si="76"/>
        <v>282</v>
      </c>
      <c r="P156" s="150">
        <f t="shared" si="77"/>
        <v>282</v>
      </c>
      <c r="Q156" s="151"/>
      <c r="R156" s="152">
        <f>P156-Q156</f>
        <v>282</v>
      </c>
      <c r="S156" s="173" t="str">
        <f>IF(Q156=0,"",P156/Q156)</f>
        <v/>
      </c>
      <c r="T156" s="154">
        <f>P156-G156</f>
        <v>-840</v>
      </c>
      <c r="U156" s="170">
        <f>IF(G156=0,"",P156/G156)</f>
        <v>0.25133689839572193</v>
      </c>
    </row>
    <row r="157" spans="2:21" x14ac:dyDescent="0.2">
      <c r="C157" s="116" t="s">
        <v>417</v>
      </c>
      <c r="F157" s="195"/>
      <c r="G157" s="166"/>
      <c r="H157" s="83">
        <v>360</v>
      </c>
      <c r="I157" s="83">
        <v>360</v>
      </c>
      <c r="J157" s="83">
        <v>360</v>
      </c>
      <c r="K157" s="15">
        <v>360</v>
      </c>
      <c r="L157" s="167">
        <f t="shared" si="74"/>
        <v>360</v>
      </c>
      <c r="M157" s="148">
        <f t="shared" si="75"/>
        <v>0</v>
      </c>
      <c r="N157" s="148">
        <f>IF(J157=0,0,J157-I157)</f>
        <v>0</v>
      </c>
      <c r="O157" s="148">
        <f>IF(K157=0,0,K157-J157)</f>
        <v>0</v>
      </c>
      <c r="P157" s="150">
        <f t="shared" si="77"/>
        <v>360</v>
      </c>
      <c r="Q157" s="151"/>
      <c r="R157" s="152"/>
      <c r="S157" s="153"/>
      <c r="T157" s="154"/>
      <c r="U157" s="170"/>
    </row>
    <row r="158" spans="2:21" x14ac:dyDescent="0.2">
      <c r="C158" s="118" t="s">
        <v>324</v>
      </c>
      <c r="F158" s="195"/>
      <c r="G158" s="157">
        <f>SUM(G152:G157)</f>
        <v>5234</v>
      </c>
      <c r="H158" s="260">
        <f>SUM(H152:H157)</f>
        <v>1737</v>
      </c>
      <c r="I158" s="84">
        <f>SUM(I152:I157)</f>
        <v>3442</v>
      </c>
      <c r="J158" s="260">
        <f>SUM(J152:J157)</f>
        <v>4278</v>
      </c>
      <c r="K158" s="280">
        <f>SUM(K152:K157)</f>
        <v>6782</v>
      </c>
      <c r="L158" s="159">
        <f t="shared" ref="L158:R158" si="78">SUM(L152:L157)</f>
        <v>1737</v>
      </c>
      <c r="M158" s="158">
        <f t="shared" si="78"/>
        <v>1705</v>
      </c>
      <c r="N158" s="158">
        <f t="shared" si="78"/>
        <v>836</v>
      </c>
      <c r="O158" s="158">
        <f t="shared" si="78"/>
        <v>2504</v>
      </c>
      <c r="P158" s="160">
        <f t="shared" si="78"/>
        <v>6782</v>
      </c>
      <c r="Q158" s="161">
        <f t="shared" si="78"/>
        <v>5000</v>
      </c>
      <c r="R158" s="162">
        <f t="shared" si="78"/>
        <v>1422</v>
      </c>
      <c r="S158" s="171">
        <f>IF(Q158=0,"",P158/Q158)</f>
        <v>1.3564000000000001</v>
      </c>
      <c r="T158" s="164">
        <f>SUM(T152:T157)</f>
        <v>1188</v>
      </c>
      <c r="U158" s="205">
        <f>IF(G158=0,"",P158/G158)</f>
        <v>1.2957585021016431</v>
      </c>
    </row>
    <row r="159" spans="2:21" x14ac:dyDescent="0.2">
      <c r="F159" s="195"/>
      <c r="G159" s="166"/>
      <c r="H159" s="83"/>
      <c r="I159" s="83"/>
      <c r="J159" s="83"/>
      <c r="K159" s="15"/>
      <c r="L159" s="167"/>
      <c r="M159" s="148"/>
      <c r="N159" s="148"/>
      <c r="O159" s="148"/>
      <c r="P159" s="150"/>
      <c r="Q159" s="151"/>
      <c r="R159" s="152"/>
      <c r="S159" s="153"/>
      <c r="T159" s="154"/>
      <c r="U159" s="170"/>
    </row>
    <row r="160" spans="2:21" x14ac:dyDescent="0.2">
      <c r="B160" s="118" t="s">
        <v>165</v>
      </c>
      <c r="F160" s="195"/>
      <c r="G160" s="166"/>
      <c r="H160" s="83"/>
      <c r="I160" s="83"/>
      <c r="J160" s="83"/>
      <c r="K160" s="15"/>
      <c r="L160" s="167"/>
      <c r="M160" s="148"/>
      <c r="N160" s="148"/>
      <c r="O160" s="148"/>
      <c r="P160" s="150"/>
      <c r="Q160" s="151"/>
      <c r="R160" s="152"/>
      <c r="S160" s="153"/>
      <c r="T160" s="154"/>
      <c r="U160" s="170"/>
    </row>
    <row r="161" spans="1:21" x14ac:dyDescent="0.2">
      <c r="C161" s="116" t="s">
        <v>325</v>
      </c>
      <c r="F161" s="195" t="s">
        <v>326</v>
      </c>
      <c r="G161" s="166"/>
      <c r="H161" s="83"/>
      <c r="I161" s="83"/>
      <c r="J161" s="83"/>
      <c r="K161" s="15"/>
      <c r="L161" s="167">
        <f>+H161</f>
        <v>0</v>
      </c>
      <c r="M161" s="148">
        <f>IF(I161=0,0,I161-H161)</f>
        <v>0</v>
      </c>
      <c r="N161" s="148">
        <f t="shared" ref="N161:O165" si="79">IF(J161=0,0,J161-I161)</f>
        <v>0</v>
      </c>
      <c r="O161" s="148">
        <f t="shared" si="79"/>
        <v>0</v>
      </c>
      <c r="P161" s="150">
        <f>SUM(L161:O161)</f>
        <v>0</v>
      </c>
      <c r="Q161" s="151">
        <v>650</v>
      </c>
      <c r="R161" s="152">
        <f>P161-Q161</f>
        <v>-650</v>
      </c>
      <c r="S161" s="173">
        <f>IF(Q161=0,"",P161/Q161)</f>
        <v>0</v>
      </c>
      <c r="T161" s="154">
        <f>P161-G161</f>
        <v>0</v>
      </c>
      <c r="U161" s="170" t="str">
        <f>IF(G161=0,"",P161/G161)</f>
        <v/>
      </c>
    </row>
    <row r="162" spans="1:21" x14ac:dyDescent="0.2">
      <c r="C162" s="116" t="s">
        <v>327</v>
      </c>
      <c r="F162" s="195" t="s">
        <v>328</v>
      </c>
      <c r="G162" s="166">
        <f>48+43+17</f>
        <v>108</v>
      </c>
      <c r="H162" s="83">
        <f>20.7+27.85</f>
        <v>48.55</v>
      </c>
      <c r="I162" s="83">
        <f>276+29</f>
        <v>305</v>
      </c>
      <c r="J162" s="83">
        <f>285+54</f>
        <v>339</v>
      </c>
      <c r="K162" s="16">
        <f>285+93</f>
        <v>378</v>
      </c>
      <c r="L162" s="167">
        <f>+H162</f>
        <v>48.55</v>
      </c>
      <c r="M162" s="148">
        <f>IF(I162=0,0,I162-H162)</f>
        <v>256.45</v>
      </c>
      <c r="N162" s="148">
        <f t="shared" si="79"/>
        <v>34</v>
      </c>
      <c r="O162" s="148">
        <f t="shared" si="79"/>
        <v>39</v>
      </c>
      <c r="P162" s="150">
        <f>SUM(L162:O162)</f>
        <v>378</v>
      </c>
      <c r="Q162" s="151"/>
      <c r="R162" s="152">
        <f>P162-Q162</f>
        <v>378</v>
      </c>
      <c r="S162" s="173" t="str">
        <f>IF(Q162=0,"",P162/Q162)</f>
        <v/>
      </c>
      <c r="T162" s="154">
        <f>P162-G162</f>
        <v>270</v>
      </c>
      <c r="U162" s="170">
        <f>IF(G162=0,"",P162/G162)</f>
        <v>3.5</v>
      </c>
    </row>
    <row r="163" spans="1:21" x14ac:dyDescent="0.2">
      <c r="C163" s="116" t="s">
        <v>329</v>
      </c>
      <c r="F163" s="195" t="s">
        <v>330</v>
      </c>
      <c r="G163" s="166">
        <v>76</v>
      </c>
      <c r="H163" s="83"/>
      <c r="I163" s="83"/>
      <c r="J163" s="83">
        <v>52</v>
      </c>
      <c r="K163" s="15">
        <v>52</v>
      </c>
      <c r="L163" s="167">
        <f>+H163</f>
        <v>0</v>
      </c>
      <c r="M163" s="148">
        <f>IF(I163=0,0,I163-H163)</f>
        <v>0</v>
      </c>
      <c r="N163" s="148">
        <f t="shared" si="79"/>
        <v>52</v>
      </c>
      <c r="O163" s="148">
        <f t="shared" si="79"/>
        <v>0</v>
      </c>
      <c r="P163" s="150">
        <f>SUM(L163:O163)</f>
        <v>52</v>
      </c>
      <c r="Q163" s="151"/>
      <c r="R163" s="152">
        <f>P163-Q163</f>
        <v>52</v>
      </c>
      <c r="S163" s="173" t="str">
        <f>IF(Q163=0,"",P163/Q163)</f>
        <v/>
      </c>
      <c r="T163" s="154">
        <f>P163-G163</f>
        <v>-24</v>
      </c>
      <c r="U163" s="170">
        <f>IF(G163=0,"",P163/G163)</f>
        <v>0.68421052631578949</v>
      </c>
    </row>
    <row r="164" spans="1:21" x14ac:dyDescent="0.2">
      <c r="C164" s="116" t="s">
        <v>331</v>
      </c>
      <c r="F164" s="195"/>
      <c r="G164" s="166"/>
      <c r="H164" s="83"/>
      <c r="I164" s="83"/>
      <c r="J164" s="83"/>
      <c r="K164" s="15"/>
      <c r="L164" s="167">
        <f>+H164</f>
        <v>0</v>
      </c>
      <c r="M164" s="148">
        <f>IF(I164=0,0,I164-H164)</f>
        <v>0</v>
      </c>
      <c r="N164" s="148">
        <f t="shared" si="79"/>
        <v>0</v>
      </c>
      <c r="O164" s="148">
        <f t="shared" si="79"/>
        <v>0</v>
      </c>
      <c r="P164" s="150">
        <f>SUM(L164:O164)</f>
        <v>0</v>
      </c>
      <c r="Q164" s="151"/>
      <c r="R164" s="152">
        <f>P164-Q164</f>
        <v>0</v>
      </c>
      <c r="S164" s="173" t="str">
        <f>IF(Q164=0,"",P164/Q164)</f>
        <v/>
      </c>
      <c r="T164" s="154">
        <f>P164-G164</f>
        <v>0</v>
      </c>
      <c r="U164" s="170" t="str">
        <f>IF(G164=0,"",P164/G164)</f>
        <v/>
      </c>
    </row>
    <row r="165" spans="1:21" x14ac:dyDescent="0.2">
      <c r="C165" s="116" t="s">
        <v>315</v>
      </c>
      <c r="F165" s="195"/>
      <c r="G165" s="166">
        <f>200+249</f>
        <v>449</v>
      </c>
      <c r="H165" s="83"/>
      <c r="I165" s="83"/>
      <c r="J165" s="83"/>
      <c r="K165" s="16"/>
      <c r="L165" s="167">
        <f>+H165</f>
        <v>0</v>
      </c>
      <c r="M165" s="148">
        <f>IF(I165=0,0,I165-H165)</f>
        <v>0</v>
      </c>
      <c r="N165" s="148">
        <f t="shared" si="79"/>
        <v>0</v>
      </c>
      <c r="O165" s="148">
        <f t="shared" si="79"/>
        <v>0</v>
      </c>
      <c r="P165" s="150">
        <f>SUM(L165:O165)</f>
        <v>0</v>
      </c>
      <c r="Q165" s="151"/>
      <c r="R165" s="152">
        <f>P165-Q165</f>
        <v>0</v>
      </c>
      <c r="S165" s="173" t="str">
        <f>IF(Q165=0,"",P165/Q165)</f>
        <v/>
      </c>
      <c r="T165" s="154">
        <f>P165-G165</f>
        <v>-449</v>
      </c>
      <c r="U165" s="170">
        <f>IF(G165=0,"",P165/G165)</f>
        <v>0</v>
      </c>
    </row>
    <row r="166" spans="1:21" x14ac:dyDescent="0.2">
      <c r="F166" s="195"/>
      <c r="G166" s="166"/>
      <c r="H166" s="83"/>
      <c r="I166" s="83"/>
      <c r="J166" s="83"/>
      <c r="K166" s="15"/>
      <c r="L166" s="167"/>
      <c r="M166" s="148"/>
      <c r="N166" s="148"/>
      <c r="O166" s="148"/>
      <c r="P166" s="150"/>
      <c r="Q166" s="151"/>
      <c r="R166" s="152"/>
      <c r="S166" s="153"/>
      <c r="T166" s="154"/>
      <c r="U166" s="170"/>
    </row>
    <row r="167" spans="1:21" x14ac:dyDescent="0.2">
      <c r="C167" s="118" t="s">
        <v>332</v>
      </c>
      <c r="F167" s="215"/>
      <c r="G167" s="216">
        <f>SUM(G161:G166)</f>
        <v>633</v>
      </c>
      <c r="H167" s="265">
        <f>SUM(H161:H166)</f>
        <v>48.55</v>
      </c>
      <c r="I167" s="91">
        <f>SUM(I161:I166)</f>
        <v>305</v>
      </c>
      <c r="J167" s="265">
        <f>SUM(J161:J166)</f>
        <v>391</v>
      </c>
      <c r="K167" s="285">
        <f>SUM(K161:K166)</f>
        <v>430</v>
      </c>
      <c r="L167" s="218">
        <f t="shared" ref="L167:R167" si="80">SUM(L161:L166)</f>
        <v>48.55</v>
      </c>
      <c r="M167" s="217">
        <f t="shared" si="80"/>
        <v>256.45</v>
      </c>
      <c r="N167" s="217">
        <f t="shared" si="80"/>
        <v>86</v>
      </c>
      <c r="O167" s="217">
        <f t="shared" si="80"/>
        <v>39</v>
      </c>
      <c r="P167" s="219">
        <f t="shared" si="80"/>
        <v>430</v>
      </c>
      <c r="Q167" s="220">
        <f t="shared" si="80"/>
        <v>650</v>
      </c>
      <c r="R167" s="221">
        <f t="shared" si="80"/>
        <v>-220</v>
      </c>
      <c r="S167" s="222">
        <f>IF(Q167=0,"",P167/Q167)</f>
        <v>0.66153846153846152</v>
      </c>
      <c r="T167" s="223">
        <f>SUM(T161:T166)</f>
        <v>-203</v>
      </c>
      <c r="U167" s="224">
        <f>IF(G167=0,"",P167/G167)</f>
        <v>0.67930489731437593</v>
      </c>
    </row>
    <row r="171" spans="1:21" x14ac:dyDescent="0.2">
      <c r="A171" s="116" t="s">
        <v>333</v>
      </c>
    </row>
    <row r="172" spans="1:21" x14ac:dyDescent="0.2">
      <c r="A172" s="116">
        <v>1</v>
      </c>
      <c r="B172" s="225" t="s">
        <v>397</v>
      </c>
    </row>
    <row r="173" spans="1:21" x14ac:dyDescent="0.2">
      <c r="A173" s="116">
        <v>2</v>
      </c>
      <c r="B173" s="116" t="s">
        <v>398</v>
      </c>
    </row>
    <row r="174" spans="1:21" x14ac:dyDescent="0.2">
      <c r="A174" s="116">
        <v>3</v>
      </c>
      <c r="B174" s="116" t="s">
        <v>230</v>
      </c>
    </row>
    <row r="175" spans="1:21" x14ac:dyDescent="0.2">
      <c r="A175" s="116">
        <v>4</v>
      </c>
      <c r="B175" s="116" t="s">
        <v>231</v>
      </c>
    </row>
  </sheetData>
  <sheetProtection algorithmName="SHA-512" hashValue="jdG6Acpbq29e760oshickoj1XZqG9SlY4+rhh3VrMYlTR3QJ892Xrbmg4fkNjAz74RiK/jARjuPCW5YEx4Emzw==" saltValue="u3weAZ8c2YSmtbStiea53w==" spinCount="100000" sheet="1" objects="1" scenarios="1"/>
  <phoneticPr fontId="4" type="noConversion"/>
  <pageMargins left="0.75" right="0.75" top="0.5" bottom="1" header="0.5" footer="0.5"/>
  <pageSetup scale="50" fitToHeight="3" orientation="landscape" horizontalDpi="4294967292" verticalDpi="4294967292" r:id="rId1"/>
  <headerFooter alignWithMargins="0">
    <oddFooter>&amp;L&amp;F&amp;C&amp;D&amp;R&amp;A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4"/>
    <pageSetUpPr fitToPage="1"/>
  </sheetPr>
  <dimension ref="A1:P85"/>
  <sheetViews>
    <sheetView zoomScaleNormal="100" workbookViewId="0">
      <pane xSplit="5" ySplit="7" topLeftCell="F8" activePane="bottomRight" state="frozen"/>
      <selection activeCell="H13" sqref="H13"/>
      <selection pane="topRight" activeCell="H13" sqref="H13"/>
      <selection pane="bottomLeft" activeCell="H13" sqref="H13"/>
      <selection pane="bottomRight" activeCell="F8" sqref="F8"/>
    </sheetView>
  </sheetViews>
  <sheetFormatPr defaultColWidth="11.08984375" defaultRowHeight="12.6" outlineLevelRow="1" x14ac:dyDescent="0.2"/>
  <cols>
    <col min="1" max="1" width="5.90625" customWidth="1"/>
    <col min="2" max="2" width="6.36328125" customWidth="1"/>
    <col min="3" max="3" width="4.08984375" customWidth="1"/>
    <col min="4" max="4" width="3.90625" customWidth="1"/>
    <col min="5" max="5" width="10.08984375" customWidth="1"/>
    <col min="6" max="6" width="8.90625" customWidth="1"/>
    <col min="7" max="7" width="12.36328125" customWidth="1"/>
    <col min="9" max="9" width="12.6328125" customWidth="1"/>
    <col min="10" max="10" width="12.54296875" customWidth="1"/>
    <col min="11" max="11" width="11.1796875"/>
    <col min="12" max="12" width="12" customWidth="1"/>
    <col min="13" max="14" width="14.7265625" bestFit="1" customWidth="1"/>
  </cols>
  <sheetData>
    <row r="1" spans="1:15" ht="16.2" x14ac:dyDescent="0.3">
      <c r="A1" s="2" t="s">
        <v>259</v>
      </c>
    </row>
    <row r="2" spans="1:15" x14ac:dyDescent="0.2">
      <c r="A2" s="14" t="s">
        <v>179</v>
      </c>
    </row>
    <row r="3" spans="1:15" ht="16.8" thickBot="1" x14ac:dyDescent="0.35">
      <c r="A3" s="2" t="s">
        <v>232</v>
      </c>
    </row>
    <row r="4" spans="1:15" ht="13.2" thickBot="1" x14ac:dyDescent="0.25">
      <c r="A4" s="1" t="s">
        <v>262</v>
      </c>
      <c r="D4" s="18">
        <v>4</v>
      </c>
    </row>
    <row r="5" spans="1:15" x14ac:dyDescent="0.2">
      <c r="E5" s="17"/>
      <c r="G5" s="71" t="s">
        <v>442</v>
      </c>
      <c r="H5">
        <v>1</v>
      </c>
      <c r="I5">
        <v>2</v>
      </c>
      <c r="J5">
        <v>3</v>
      </c>
      <c r="K5">
        <v>4</v>
      </c>
    </row>
    <row r="6" spans="1:15" ht="16.2" x14ac:dyDescent="0.3">
      <c r="A6" s="2"/>
      <c r="F6" s="79" t="s">
        <v>212</v>
      </c>
      <c r="G6" s="61" t="s">
        <v>78</v>
      </c>
      <c r="H6" s="266" t="s">
        <v>446</v>
      </c>
      <c r="I6" s="36" t="s">
        <v>451</v>
      </c>
      <c r="J6" s="273" t="s">
        <v>444</v>
      </c>
      <c r="K6" s="286" t="s">
        <v>78</v>
      </c>
      <c r="L6" s="234" t="s">
        <v>441</v>
      </c>
      <c r="M6" s="67" t="s">
        <v>135</v>
      </c>
      <c r="N6" s="68" t="s">
        <v>136</v>
      </c>
    </row>
    <row r="7" spans="1:15" x14ac:dyDescent="0.2">
      <c r="F7" s="80" t="s">
        <v>213</v>
      </c>
      <c r="G7" s="62">
        <v>40998</v>
      </c>
      <c r="H7" s="259">
        <v>41089</v>
      </c>
      <c r="I7" s="70">
        <v>41181</v>
      </c>
      <c r="J7" s="271">
        <v>41273</v>
      </c>
      <c r="K7" s="287">
        <v>41363</v>
      </c>
      <c r="L7" s="235" t="s">
        <v>438</v>
      </c>
      <c r="M7" s="65" t="s">
        <v>19</v>
      </c>
      <c r="N7" s="66" t="s">
        <v>125</v>
      </c>
    </row>
    <row r="8" spans="1:15" x14ac:dyDescent="0.2">
      <c r="A8" s="1" t="s">
        <v>233</v>
      </c>
      <c r="F8" s="81"/>
      <c r="G8" s="76"/>
      <c r="H8" s="92"/>
      <c r="I8" s="93"/>
      <c r="J8" s="93"/>
      <c r="K8" s="93"/>
      <c r="L8" s="47"/>
      <c r="M8" s="34"/>
      <c r="N8" s="48"/>
    </row>
    <row r="9" spans="1:15" x14ac:dyDescent="0.2">
      <c r="F9" s="78"/>
      <c r="G9" s="49"/>
      <c r="H9" s="94"/>
      <c r="I9" s="95"/>
      <c r="J9" s="95"/>
      <c r="K9" s="95"/>
      <c r="L9" s="49"/>
      <c r="M9" s="46"/>
      <c r="N9" s="50"/>
    </row>
    <row r="10" spans="1:15" x14ac:dyDescent="0.2">
      <c r="B10" t="s">
        <v>234</v>
      </c>
      <c r="F10" s="78"/>
      <c r="G10" s="37"/>
      <c r="H10" s="96"/>
      <c r="I10" s="97"/>
      <c r="J10" s="97"/>
      <c r="K10" s="97"/>
      <c r="L10" s="37"/>
      <c r="M10" s="42"/>
      <c r="N10" s="51"/>
      <c r="O10" s="15"/>
    </row>
    <row r="11" spans="1:15" x14ac:dyDescent="0.2">
      <c r="B11" t="s">
        <v>235</v>
      </c>
      <c r="F11" s="78"/>
      <c r="G11" s="37"/>
      <c r="H11" s="96"/>
      <c r="I11" s="97"/>
      <c r="J11" s="97"/>
      <c r="K11" s="97"/>
      <c r="L11" s="37"/>
      <c r="M11" s="42"/>
      <c r="N11" s="51"/>
    </row>
    <row r="12" spans="1:15" x14ac:dyDescent="0.2">
      <c r="B12" t="s">
        <v>236</v>
      </c>
      <c r="F12" s="78"/>
      <c r="G12" s="37"/>
      <c r="H12" s="96"/>
      <c r="I12" s="97"/>
      <c r="J12" s="97"/>
      <c r="K12" s="97"/>
      <c r="L12" s="37"/>
      <c r="M12" s="38"/>
      <c r="N12" s="51"/>
    </row>
    <row r="13" spans="1:15" x14ac:dyDescent="0.2">
      <c r="F13" s="78"/>
      <c r="G13" s="37"/>
      <c r="H13" s="96"/>
      <c r="I13" s="97"/>
      <c r="J13" s="97"/>
      <c r="K13" s="97"/>
      <c r="L13" s="37"/>
      <c r="M13" s="38"/>
      <c r="N13" s="51"/>
    </row>
    <row r="14" spans="1:15" x14ac:dyDescent="0.2">
      <c r="F14" s="78"/>
      <c r="G14" s="37"/>
      <c r="H14" s="96"/>
      <c r="I14" s="97"/>
      <c r="J14" s="97"/>
      <c r="K14" s="97"/>
      <c r="L14" s="37"/>
      <c r="M14" s="38"/>
      <c r="N14" s="51"/>
    </row>
    <row r="15" spans="1:15" x14ac:dyDescent="0.2">
      <c r="B15" s="1" t="s">
        <v>237</v>
      </c>
      <c r="F15" s="78"/>
      <c r="G15" s="54">
        <f t="shared" ref="G15:L15" si="0">SUM(G10:G14)</f>
        <v>0</v>
      </c>
      <c r="H15" s="98">
        <f t="shared" si="0"/>
        <v>0</v>
      </c>
      <c r="I15" s="99">
        <f>SUM(I10:I14)</f>
        <v>0</v>
      </c>
      <c r="J15" s="99">
        <f t="shared" ref="J15:K15" si="1">SUM(J10:J14)</f>
        <v>0</v>
      </c>
      <c r="K15" s="99">
        <f t="shared" si="1"/>
        <v>0</v>
      </c>
      <c r="L15" s="54">
        <f t="shared" si="0"/>
        <v>0</v>
      </c>
      <c r="M15" s="77">
        <f>IF($D$4=$H$5,H15-L15,IF($D$4=$I$5,I15-L15,IF($D$4=$J$5,J15-L15,K15-L15)))</f>
        <v>0</v>
      </c>
      <c r="N15" s="55">
        <f>IF($D$4=$H$5,H15-G15,IF($D$4=$I$5,I15-G15,IF($D$4=$J$5,J15-G15,K15-G15)))</f>
        <v>0</v>
      </c>
    </row>
    <row r="16" spans="1:15" outlineLevel="1" x14ac:dyDescent="0.2">
      <c r="F16" s="78"/>
      <c r="G16" s="37"/>
      <c r="H16" s="96"/>
      <c r="I16" s="97"/>
      <c r="J16" s="97"/>
      <c r="K16" s="97"/>
      <c r="L16" s="37"/>
      <c r="M16" s="38"/>
      <c r="N16" s="51"/>
    </row>
    <row r="17" spans="2:14" outlineLevel="1" x14ac:dyDescent="0.2">
      <c r="B17" t="s">
        <v>238</v>
      </c>
      <c r="F17" s="78">
        <v>1010</v>
      </c>
      <c r="G17" s="37">
        <v>71886</v>
      </c>
      <c r="H17" s="96">
        <v>77241</v>
      </c>
      <c r="I17" s="97">
        <v>61702</v>
      </c>
      <c r="J17" s="97">
        <v>59765</v>
      </c>
      <c r="K17" s="97">
        <v>82881</v>
      </c>
      <c r="L17" s="37">
        <v>59936</v>
      </c>
      <c r="M17" s="38"/>
      <c r="N17" s="51"/>
    </row>
    <row r="18" spans="2:14" outlineLevel="1" x14ac:dyDescent="0.2">
      <c r="B18" t="s">
        <v>239</v>
      </c>
      <c r="F18" s="78">
        <v>1070</v>
      </c>
      <c r="G18" s="37"/>
      <c r="H18" s="96"/>
      <c r="I18" s="97"/>
      <c r="J18" s="97"/>
      <c r="K18" s="97"/>
      <c r="L18" s="37"/>
      <c r="M18" s="38"/>
      <c r="N18" s="51"/>
    </row>
    <row r="19" spans="2:14" outlineLevel="1" x14ac:dyDescent="0.2">
      <c r="B19" t="s">
        <v>99</v>
      </c>
      <c r="F19" s="78"/>
      <c r="G19" s="37"/>
      <c r="H19" s="96"/>
      <c r="I19" s="97"/>
      <c r="J19" s="97"/>
      <c r="K19" s="97"/>
      <c r="L19" s="37"/>
      <c r="M19" s="38"/>
      <c r="N19" s="51"/>
    </row>
    <row r="20" spans="2:14" outlineLevel="1" x14ac:dyDescent="0.2">
      <c r="F20" s="78"/>
      <c r="G20" s="37"/>
      <c r="H20" s="96"/>
      <c r="I20" s="97"/>
      <c r="J20" s="97"/>
      <c r="K20" s="97"/>
      <c r="L20" s="37"/>
      <c r="M20" s="38"/>
      <c r="N20" s="51"/>
    </row>
    <row r="21" spans="2:14" outlineLevel="1" x14ac:dyDescent="0.2">
      <c r="F21" s="78"/>
      <c r="G21" s="41"/>
      <c r="H21" s="100"/>
      <c r="I21" s="101"/>
      <c r="J21" s="101"/>
      <c r="K21" s="97"/>
      <c r="L21" s="37"/>
      <c r="M21" s="38"/>
      <c r="N21" s="51"/>
    </row>
    <row r="22" spans="2:14" outlineLevel="1" x14ac:dyDescent="0.2">
      <c r="B22" s="1" t="s">
        <v>100</v>
      </c>
      <c r="F22" s="78"/>
      <c r="G22" s="54">
        <f t="shared" ref="G22:L22" si="2">SUM(G17:G21)</f>
        <v>71886</v>
      </c>
      <c r="H22" s="98">
        <f t="shared" si="2"/>
        <v>77241</v>
      </c>
      <c r="I22" s="99">
        <f t="shared" ref="I22" si="3">SUM(I17:I21)</f>
        <v>61702</v>
      </c>
      <c r="J22" s="99">
        <f t="shared" ref="J22" si="4">SUM(J17:J21)</f>
        <v>59765</v>
      </c>
      <c r="K22" s="99">
        <f t="shared" ref="K22" si="5">SUM(K17:K21)</f>
        <v>82881</v>
      </c>
      <c r="L22" s="54">
        <f t="shared" si="2"/>
        <v>59936</v>
      </c>
      <c r="M22" s="52">
        <f>IF($D$4=$H$5,H22-L22,IF($D$4=$I$5,I22-L22,IF($D$4=$J$5,J22-L22,K22-L22)))</f>
        <v>22945</v>
      </c>
      <c r="N22" s="55">
        <f>IF($D$4=$H$5,H22-G22,IF($D$4=$I$5,I22-G22,IF($D$4=$J$5,J22-G22,K22-G22)))</f>
        <v>10995</v>
      </c>
    </row>
    <row r="23" spans="2:14" outlineLevel="1" x14ac:dyDescent="0.2">
      <c r="F23" s="78"/>
      <c r="G23" s="37"/>
      <c r="H23" s="96"/>
      <c r="I23" s="97"/>
      <c r="J23" s="97"/>
      <c r="K23" s="97"/>
      <c r="L23" s="37"/>
      <c r="M23" s="38"/>
      <c r="N23" s="51"/>
    </row>
    <row r="24" spans="2:14" outlineLevel="1" x14ac:dyDescent="0.2">
      <c r="B24" t="s">
        <v>240</v>
      </c>
      <c r="F24" s="78"/>
      <c r="G24" s="37"/>
      <c r="H24" s="96"/>
      <c r="I24" s="97"/>
      <c r="J24" s="97"/>
      <c r="K24" s="97"/>
      <c r="L24" s="37"/>
      <c r="M24" s="38"/>
      <c r="N24" s="51"/>
    </row>
    <row r="25" spans="2:14" outlineLevel="1" x14ac:dyDescent="0.2">
      <c r="B25" t="s">
        <v>241</v>
      </c>
      <c r="F25" s="78"/>
      <c r="G25" s="37"/>
      <c r="H25" s="96"/>
      <c r="I25" s="97"/>
      <c r="J25" s="97"/>
      <c r="K25" s="97"/>
      <c r="L25" s="37"/>
      <c r="M25" s="38"/>
      <c r="N25" s="51"/>
    </row>
    <row r="26" spans="2:14" outlineLevel="1" x14ac:dyDescent="0.2">
      <c r="B26" t="s">
        <v>242</v>
      </c>
      <c r="F26" s="78"/>
      <c r="G26" s="37"/>
      <c r="H26" s="96"/>
      <c r="I26" s="97"/>
      <c r="J26" s="97"/>
      <c r="K26" s="97"/>
      <c r="L26" s="37"/>
      <c r="M26" s="38"/>
      <c r="N26" s="51"/>
    </row>
    <row r="27" spans="2:14" outlineLevel="1" x14ac:dyDescent="0.2">
      <c r="F27" s="78"/>
      <c r="G27" s="37"/>
      <c r="H27" s="96"/>
      <c r="I27" s="97"/>
      <c r="J27" s="97"/>
      <c r="K27" s="97"/>
      <c r="L27" s="37"/>
      <c r="M27" s="38"/>
      <c r="N27" s="51"/>
    </row>
    <row r="28" spans="2:14" outlineLevel="1" x14ac:dyDescent="0.2">
      <c r="F28" s="78"/>
      <c r="G28" s="37"/>
      <c r="H28" s="96"/>
      <c r="I28" s="97"/>
      <c r="J28" s="97"/>
      <c r="K28" s="97"/>
      <c r="L28" s="37"/>
      <c r="M28" s="38"/>
      <c r="N28" s="51"/>
    </row>
    <row r="29" spans="2:14" outlineLevel="1" x14ac:dyDescent="0.2">
      <c r="B29" s="1" t="s">
        <v>243</v>
      </c>
      <c r="F29" s="78"/>
      <c r="G29" s="54">
        <f t="shared" ref="G29:L29" si="6">SUM(G24:G28)</f>
        <v>0</v>
      </c>
      <c r="H29" s="98">
        <f t="shared" si="6"/>
        <v>0</v>
      </c>
      <c r="I29" s="99">
        <f t="shared" ref="I29" si="7">SUM(I24:I28)</f>
        <v>0</v>
      </c>
      <c r="J29" s="99">
        <f t="shared" ref="J29" si="8">SUM(J24:J28)</f>
        <v>0</v>
      </c>
      <c r="K29" s="99">
        <f t="shared" ref="K29" si="9">SUM(K24:K28)</f>
        <v>0</v>
      </c>
      <c r="L29" s="54">
        <f t="shared" si="6"/>
        <v>0</v>
      </c>
      <c r="M29" s="52">
        <f>IF($D$4=$H$5,H29-L29,IF($D$4=$I$5,I29-L29,IF($D$4=$J$5,J29-L29,K29-L29)))</f>
        <v>0</v>
      </c>
      <c r="N29" s="55">
        <f>IF($D$4=$H$5,H29-G29,IF($D$4=$I$5,I29-G29,IF($D$4=$J$5,J29-G29,K29-G29)))</f>
        <v>0</v>
      </c>
    </row>
    <row r="30" spans="2:14" outlineLevel="1" x14ac:dyDescent="0.2">
      <c r="F30" s="78"/>
      <c r="G30" s="37"/>
      <c r="H30" s="96"/>
      <c r="I30" s="97"/>
      <c r="J30" s="97"/>
      <c r="K30" s="97"/>
      <c r="L30" s="37"/>
      <c r="M30" s="38"/>
      <c r="N30" s="51"/>
    </row>
    <row r="31" spans="2:14" outlineLevel="1" x14ac:dyDescent="0.2">
      <c r="B31" s="1" t="s">
        <v>244</v>
      </c>
      <c r="F31" s="78"/>
      <c r="G31" s="39">
        <f t="shared" ref="G31:L31" si="10">+G15+G22+G29</f>
        <v>71886</v>
      </c>
      <c r="H31" s="267">
        <f t="shared" si="10"/>
        <v>77241</v>
      </c>
      <c r="I31" s="103">
        <f t="shared" si="10"/>
        <v>61702</v>
      </c>
      <c r="J31" s="274">
        <f t="shared" si="10"/>
        <v>59765</v>
      </c>
      <c r="K31" s="288">
        <f t="shared" si="10"/>
        <v>82881</v>
      </c>
      <c r="L31" s="39">
        <f t="shared" si="10"/>
        <v>59936</v>
      </c>
      <c r="M31" s="40">
        <f>IF($D$4=$H$5,H31-L31,IF($D$4=$I$5,I31-L31,IF($D$4=$J$5,J31-L31,K31-L31)))</f>
        <v>22945</v>
      </c>
      <c r="N31" s="56">
        <f>IF($D$4=$H$5,H31-G31,IF($D$4=$I$5,I31-G31,IF($D$4=$J$5,J31-G31,K31-G31)))</f>
        <v>10995</v>
      </c>
    </row>
    <row r="32" spans="2:14" x14ac:dyDescent="0.2">
      <c r="F32" s="78"/>
      <c r="G32" s="37"/>
      <c r="H32" s="96"/>
      <c r="I32" s="97"/>
      <c r="J32" s="97"/>
      <c r="K32" s="97"/>
      <c r="L32" s="37"/>
      <c r="M32" s="38"/>
      <c r="N32" s="51"/>
    </row>
    <row r="33" spans="1:16" x14ac:dyDescent="0.2">
      <c r="A33" s="1" t="s">
        <v>245</v>
      </c>
      <c r="F33" s="78"/>
      <c r="G33" s="41"/>
      <c r="H33" s="100"/>
      <c r="I33" s="101"/>
      <c r="J33" s="101"/>
      <c r="K33" s="101"/>
      <c r="L33" s="41"/>
      <c r="M33" s="42"/>
      <c r="N33" s="57"/>
    </row>
    <row r="34" spans="1:16" x14ac:dyDescent="0.2">
      <c r="B34" t="s">
        <v>246</v>
      </c>
      <c r="F34" s="78"/>
      <c r="G34" s="41"/>
      <c r="H34" s="100"/>
      <c r="I34" s="101"/>
      <c r="J34" s="101"/>
      <c r="K34" s="101"/>
      <c r="L34" s="41"/>
      <c r="M34" s="42"/>
      <c r="N34" s="57"/>
    </row>
    <row r="35" spans="1:16" x14ac:dyDescent="0.2">
      <c r="F35" s="78"/>
      <c r="G35" s="41"/>
      <c r="H35" s="100"/>
      <c r="I35" s="101"/>
      <c r="J35" s="101"/>
      <c r="K35" s="101"/>
      <c r="L35" s="41"/>
      <c r="M35" s="42"/>
      <c r="N35" s="57"/>
    </row>
    <row r="36" spans="1:16" x14ac:dyDescent="0.2">
      <c r="F36" s="78"/>
      <c r="G36" s="37"/>
      <c r="H36" s="96"/>
      <c r="I36" s="97"/>
      <c r="J36" s="97"/>
      <c r="K36" s="97"/>
      <c r="L36" s="37"/>
      <c r="M36" s="38"/>
      <c r="N36" s="51"/>
    </row>
    <row r="37" spans="1:16" x14ac:dyDescent="0.2">
      <c r="B37" s="1" t="s">
        <v>247</v>
      </c>
      <c r="F37" s="78"/>
      <c r="G37" s="54">
        <f t="shared" ref="G37:L37" si="11">SUM(G34:G36)</f>
        <v>0</v>
      </c>
      <c r="H37" s="98">
        <f t="shared" si="11"/>
        <v>0</v>
      </c>
      <c r="I37" s="99">
        <f t="shared" ref="I37" si="12">SUM(I34:I36)</f>
        <v>0</v>
      </c>
      <c r="J37" s="99">
        <f t="shared" ref="J37" si="13">SUM(J34:J36)</f>
        <v>0</v>
      </c>
      <c r="K37" s="99">
        <f t="shared" ref="K37" si="14">SUM(K34:K36)</f>
        <v>0</v>
      </c>
      <c r="L37" s="54">
        <f t="shared" si="11"/>
        <v>0</v>
      </c>
      <c r="M37" s="53">
        <f>IF($D$4=$H$5,H37-L37,IF($D$4=$I$5,I37-L37,IF($D$4=$J$5,J37-L37,K37-L37)))</f>
        <v>0</v>
      </c>
      <c r="N37" s="55">
        <f>IF($D$4=$H$5,H37-G37,IF($D$4=$I$5,I37-G37,IF($D$4=$J$5,J37-G37,K37-G37)))</f>
        <v>0</v>
      </c>
    </row>
    <row r="38" spans="1:16" x14ac:dyDescent="0.2">
      <c r="F38" s="78"/>
      <c r="G38" s="37"/>
      <c r="H38" s="96"/>
      <c r="I38" s="97"/>
      <c r="J38" s="97"/>
      <c r="K38" s="97"/>
      <c r="L38" s="37"/>
      <c r="M38" s="38"/>
      <c r="N38" s="51"/>
    </row>
    <row r="39" spans="1:16" hidden="1" outlineLevel="1" x14ac:dyDescent="0.2">
      <c r="A39" s="1" t="s">
        <v>248</v>
      </c>
      <c r="B39" s="1"/>
      <c r="F39" s="78"/>
      <c r="G39" s="37"/>
      <c r="H39" s="96"/>
      <c r="I39" s="97"/>
      <c r="J39" s="97"/>
      <c r="K39" s="97"/>
      <c r="L39" s="37"/>
      <c r="M39" s="38"/>
      <c r="N39" s="51"/>
    </row>
    <row r="40" spans="1:16" hidden="1" outlineLevel="1" x14ac:dyDescent="0.2">
      <c r="B40" t="s">
        <v>249</v>
      </c>
      <c r="F40" s="78"/>
      <c r="G40" s="37"/>
      <c r="H40" s="96"/>
      <c r="I40" s="97"/>
      <c r="J40" s="97"/>
      <c r="K40" s="97"/>
      <c r="L40" s="37"/>
      <c r="M40" s="38"/>
      <c r="N40" s="51"/>
    </row>
    <row r="41" spans="1:16" hidden="1" outlineLevel="1" x14ac:dyDescent="0.2">
      <c r="B41" t="s">
        <v>250</v>
      </c>
      <c r="F41" s="78"/>
      <c r="G41" s="37"/>
      <c r="H41" s="96"/>
      <c r="I41" s="97"/>
      <c r="J41" s="97"/>
      <c r="K41" s="97"/>
      <c r="L41" s="37"/>
      <c r="M41" s="38"/>
      <c r="N41" s="51"/>
    </row>
    <row r="42" spans="1:16" hidden="1" outlineLevel="1" x14ac:dyDescent="0.2">
      <c r="F42" s="78"/>
      <c r="G42" s="37"/>
      <c r="H42" s="96"/>
      <c r="I42" s="97"/>
      <c r="J42" s="97"/>
      <c r="K42" s="97"/>
      <c r="L42" s="37"/>
      <c r="M42" s="38"/>
      <c r="N42" s="51"/>
    </row>
    <row r="43" spans="1:16" collapsed="1" x14ac:dyDescent="0.2">
      <c r="B43" s="1" t="s">
        <v>251</v>
      </c>
      <c r="F43" s="78"/>
      <c r="G43" s="54">
        <f t="shared" ref="G43:L43" si="15">SUM(G40:G42)</f>
        <v>0</v>
      </c>
      <c r="H43" s="98">
        <f t="shared" si="15"/>
        <v>0</v>
      </c>
      <c r="I43" s="99">
        <f>SUM(I40:I42)</f>
        <v>0</v>
      </c>
      <c r="J43" s="99">
        <f t="shared" ref="J43" si="16">SUM(J40:J42)</f>
        <v>0</v>
      </c>
      <c r="K43" s="99">
        <f t="shared" ref="K43" si="17">SUM(K40:K42)</f>
        <v>0</v>
      </c>
      <c r="L43" s="54">
        <f t="shared" si="15"/>
        <v>0</v>
      </c>
      <c r="M43" s="52">
        <f>IF($D$4=$H$5,H43-L43,IF($D$4=$I$5,I43-L43,IF($D$4=$J$5,J43-L43,K43-L43)))</f>
        <v>0</v>
      </c>
      <c r="N43" s="55">
        <f>IF($D$4=$H$5,H43-G43,IF($D$4=$I$5,I43-G43,IF($D$4=$J$5,J43-G43,K43-G43)))</f>
        <v>0</v>
      </c>
    </row>
    <row r="44" spans="1:16" x14ac:dyDescent="0.2">
      <c r="F44" s="78"/>
      <c r="G44" s="37"/>
      <c r="H44" s="96"/>
      <c r="I44" s="97"/>
      <c r="J44" s="97"/>
      <c r="K44" s="97"/>
      <c r="L44" s="37"/>
      <c r="M44" s="38"/>
      <c r="N44" s="51"/>
    </row>
    <row r="45" spans="1:16" ht="13.2" thickBot="1" x14ac:dyDescent="0.25">
      <c r="A45" s="1" t="s">
        <v>365</v>
      </c>
      <c r="F45" s="78"/>
      <c r="G45" s="43">
        <f t="shared" ref="G45:L45" si="18">+G43+G37+G31</f>
        <v>71886</v>
      </c>
      <c r="H45" s="268">
        <f t="shared" si="18"/>
        <v>77241</v>
      </c>
      <c r="I45" s="105">
        <f t="shared" si="18"/>
        <v>61702</v>
      </c>
      <c r="J45" s="275">
        <f t="shared" si="18"/>
        <v>59765</v>
      </c>
      <c r="K45" s="289">
        <f t="shared" si="18"/>
        <v>82881</v>
      </c>
      <c r="L45" s="43">
        <f t="shared" si="18"/>
        <v>59936</v>
      </c>
      <c r="M45" s="45">
        <f>IF($D$4=$H$5,H45-L45,IF($D$4=$I$5,I45-L45,IF($D$4=$J$5,J45-L45,K45-L45)))</f>
        <v>22945</v>
      </c>
      <c r="N45" s="58">
        <f>IF($D$4=$H$5,H45-G45,IF($D$4=$I$5,I45-G45,IF($D$4=$J$5,J45-G45,K45-G45)))</f>
        <v>10995</v>
      </c>
    </row>
    <row r="46" spans="1:16" ht="13.2" thickTop="1" x14ac:dyDescent="0.2">
      <c r="F46" s="78"/>
      <c r="G46" s="37"/>
      <c r="H46" s="96"/>
      <c r="I46" s="97"/>
      <c r="J46" s="97"/>
      <c r="K46" s="97"/>
      <c r="L46" s="37"/>
      <c r="M46" s="38"/>
      <c r="N46" s="51"/>
    </row>
    <row r="47" spans="1:16" x14ac:dyDescent="0.2">
      <c r="A47" s="1" t="s">
        <v>366</v>
      </c>
      <c r="F47" s="78"/>
      <c r="G47" s="37"/>
      <c r="H47" s="96"/>
      <c r="I47" s="97"/>
      <c r="J47" s="97"/>
      <c r="K47" s="97"/>
      <c r="L47" s="37"/>
      <c r="M47" s="38"/>
      <c r="N47" s="51"/>
      <c r="P47" s="15"/>
    </row>
    <row r="48" spans="1:16" x14ac:dyDescent="0.2">
      <c r="B48" t="s">
        <v>367</v>
      </c>
      <c r="F48" s="78">
        <v>2020</v>
      </c>
      <c r="G48" s="37"/>
      <c r="H48" s="96"/>
      <c r="I48" s="97">
        <v>26</v>
      </c>
      <c r="J48" s="97">
        <v>26</v>
      </c>
      <c r="K48" s="97">
        <v>26</v>
      </c>
      <c r="L48" s="37"/>
      <c r="M48" s="38"/>
      <c r="N48" s="51"/>
    </row>
    <row r="49" spans="1:14" x14ac:dyDescent="0.2">
      <c r="B49" t="s">
        <v>368</v>
      </c>
      <c r="F49" s="78">
        <v>2010</v>
      </c>
      <c r="G49" s="37">
        <v>404</v>
      </c>
      <c r="H49" s="96">
        <v>238</v>
      </c>
      <c r="I49" s="97">
        <v>822</v>
      </c>
      <c r="J49" s="97">
        <v>56</v>
      </c>
      <c r="K49" s="97">
        <v>0</v>
      </c>
      <c r="L49" s="37">
        <v>500</v>
      </c>
      <c r="M49" s="38"/>
      <c r="N49" s="51"/>
    </row>
    <row r="50" spans="1:14" x14ac:dyDescent="0.2">
      <c r="B50" t="s">
        <v>369</v>
      </c>
      <c r="F50" s="78">
        <v>3111</v>
      </c>
      <c r="G50" s="37">
        <v>4151</v>
      </c>
      <c r="H50" s="96">
        <v>2528</v>
      </c>
      <c r="I50" s="97">
        <v>3358</v>
      </c>
      <c r="J50" s="97">
        <v>30</v>
      </c>
      <c r="K50" s="97">
        <v>30</v>
      </c>
      <c r="L50" s="37">
        <v>1000</v>
      </c>
      <c r="M50" s="38"/>
      <c r="N50" s="51"/>
    </row>
    <row r="51" spans="1:14" x14ac:dyDescent="0.2">
      <c r="B51" t="s">
        <v>370</v>
      </c>
      <c r="F51" s="78">
        <v>2040</v>
      </c>
      <c r="G51" s="37"/>
      <c r="H51" s="96"/>
      <c r="I51" s="97"/>
      <c r="J51" s="97"/>
      <c r="K51" s="97"/>
      <c r="L51" s="37"/>
      <c r="M51" s="38"/>
      <c r="N51" s="51"/>
    </row>
    <row r="52" spans="1:14" x14ac:dyDescent="0.2">
      <c r="B52" t="s">
        <v>371</v>
      </c>
      <c r="F52" s="78"/>
      <c r="G52" s="37"/>
      <c r="H52" s="96"/>
      <c r="I52" s="97"/>
      <c r="J52" s="97"/>
      <c r="K52" s="97"/>
      <c r="L52" s="37"/>
      <c r="M52" s="38"/>
      <c r="N52" s="51"/>
    </row>
    <row r="53" spans="1:14" x14ac:dyDescent="0.2">
      <c r="F53" s="78"/>
      <c r="G53" s="37"/>
      <c r="H53" s="96"/>
      <c r="I53" s="97"/>
      <c r="J53" s="97"/>
      <c r="K53" s="97"/>
      <c r="L53" s="37"/>
      <c r="M53" s="38"/>
      <c r="N53" s="51"/>
    </row>
    <row r="54" spans="1:14" x14ac:dyDescent="0.2">
      <c r="F54" s="78"/>
      <c r="G54" s="37"/>
      <c r="H54" s="96"/>
      <c r="I54" s="97"/>
      <c r="J54" s="97"/>
      <c r="K54" s="97"/>
      <c r="L54" s="37"/>
      <c r="M54" s="38"/>
      <c r="N54" s="51"/>
    </row>
    <row r="55" spans="1:14" x14ac:dyDescent="0.2">
      <c r="B55" s="1" t="s">
        <v>372</v>
      </c>
      <c r="F55" s="78"/>
      <c r="G55" s="54">
        <f t="shared" ref="G55:L55" si="19">SUM(G48:G54)</f>
        <v>4555</v>
      </c>
      <c r="H55" s="98">
        <f t="shared" si="19"/>
        <v>2766</v>
      </c>
      <c r="I55" s="99">
        <f t="shared" ref="I55" si="20">SUM(I48:I54)</f>
        <v>4206</v>
      </c>
      <c r="J55" s="99">
        <f t="shared" ref="J55" si="21">SUM(J48:J54)</f>
        <v>112</v>
      </c>
      <c r="K55" s="99">
        <f t="shared" ref="K55" si="22">SUM(K48:K54)</f>
        <v>56</v>
      </c>
      <c r="L55" s="54">
        <f t="shared" si="19"/>
        <v>1500</v>
      </c>
      <c r="M55" s="53">
        <f>IF($D$4=$H$5,H55-L55,IF($D$4=$I$5,I55-L55,IF($D$4=$J$5,J55-L55,K55-L55)))</f>
        <v>-1444</v>
      </c>
      <c r="N55" s="55">
        <f>IF($D$4=$H$5,H55-G55,IF($D$4=$I$5,I55-G55,IF($D$4=$J$5,J55-G55,K55-G55)))</f>
        <v>-4499</v>
      </c>
    </row>
    <row r="56" spans="1:14" x14ac:dyDescent="0.2">
      <c r="F56" s="78"/>
      <c r="G56" s="37"/>
      <c r="H56" s="96"/>
      <c r="I56" s="97"/>
      <c r="J56" s="97"/>
      <c r="K56" s="97"/>
      <c r="L56" s="37"/>
      <c r="M56" s="38"/>
      <c r="N56" s="51"/>
    </row>
    <row r="57" spans="1:14" x14ac:dyDescent="0.2">
      <c r="A57" s="1" t="s">
        <v>373</v>
      </c>
      <c r="F57" s="78"/>
      <c r="G57" s="37"/>
      <c r="H57" s="96"/>
      <c r="I57" s="97"/>
      <c r="J57" s="97"/>
      <c r="K57" s="97"/>
      <c r="L57" s="37"/>
      <c r="M57" s="38"/>
      <c r="N57" s="51"/>
    </row>
    <row r="58" spans="1:14" ht="13.2" x14ac:dyDescent="0.25">
      <c r="B58" s="60" t="s">
        <v>416</v>
      </c>
      <c r="F58" s="78" t="s">
        <v>374</v>
      </c>
      <c r="G58" s="37">
        <f>G84</f>
        <v>37878</v>
      </c>
      <c r="H58" s="96">
        <f>H84</f>
        <v>37878</v>
      </c>
      <c r="I58" s="97">
        <f>I84</f>
        <v>37878</v>
      </c>
      <c r="J58" s="97">
        <f>J84</f>
        <v>37878</v>
      </c>
      <c r="K58" s="97">
        <v>40500</v>
      </c>
      <c r="L58" s="37">
        <v>40500</v>
      </c>
      <c r="M58" s="38"/>
      <c r="N58" s="51"/>
    </row>
    <row r="59" spans="1:14" x14ac:dyDescent="0.2">
      <c r="B59" t="s">
        <v>375</v>
      </c>
      <c r="F59" s="78"/>
      <c r="G59" s="37"/>
      <c r="H59" s="96"/>
      <c r="I59" s="97"/>
      <c r="J59" s="97"/>
      <c r="K59" s="97">
        <v>10000</v>
      </c>
      <c r="L59" s="37">
        <v>9936</v>
      </c>
      <c r="M59" s="38"/>
      <c r="N59" s="51"/>
    </row>
    <row r="60" spans="1:14" x14ac:dyDescent="0.2">
      <c r="B60" t="s">
        <v>376</v>
      </c>
      <c r="F60" s="78"/>
      <c r="G60" s="37">
        <f>+G45-G55-G58-G59</f>
        <v>29453</v>
      </c>
      <c r="H60" s="96">
        <f>G60+7144</f>
        <v>36597</v>
      </c>
      <c r="I60" s="97">
        <f>+I45-I55-I58-I59</f>
        <v>19618</v>
      </c>
      <c r="J60" s="97">
        <f>+J45-J55-J58-J59</f>
        <v>21775</v>
      </c>
      <c r="K60" s="97">
        <v>32325</v>
      </c>
      <c r="L60" s="37">
        <v>8000</v>
      </c>
      <c r="M60" s="38"/>
      <c r="N60" s="51"/>
    </row>
    <row r="61" spans="1:14" x14ac:dyDescent="0.2">
      <c r="F61" s="78"/>
      <c r="G61" s="37"/>
      <c r="H61" s="96"/>
      <c r="I61" s="97"/>
      <c r="J61" s="97"/>
      <c r="K61" s="97"/>
      <c r="L61" s="37"/>
      <c r="M61" s="38"/>
      <c r="N61" s="51"/>
    </row>
    <row r="62" spans="1:14" x14ac:dyDescent="0.2">
      <c r="B62" s="1" t="s">
        <v>377</v>
      </c>
      <c r="F62" s="78"/>
      <c r="G62" s="54">
        <f t="shared" ref="G62:L62" si="23">SUM(G58:G61)</f>
        <v>67331</v>
      </c>
      <c r="H62" s="98">
        <f t="shared" si="23"/>
        <v>74475</v>
      </c>
      <c r="I62" s="99">
        <f t="shared" ref="I62" si="24">SUM(I58:I61)</f>
        <v>57496</v>
      </c>
      <c r="J62" s="99">
        <f t="shared" ref="J62" si="25">SUM(J58:J61)</f>
        <v>59653</v>
      </c>
      <c r="K62" s="99">
        <f t="shared" ref="K62" si="26">SUM(K58:K61)</f>
        <v>82825</v>
      </c>
      <c r="L62" s="54">
        <f t="shared" si="23"/>
        <v>58436</v>
      </c>
      <c r="M62" s="53">
        <f>IF($D$4=$H$5,H62-L62,IF($D$4=$I$5,I62-L62,IF($D$4=$J$5,J62-L62,K62-L62)))</f>
        <v>24389</v>
      </c>
      <c r="N62" s="55">
        <f>IF($D$4=$H$5,H62-G62,IF($D$4=$I$5,I62-G62,IF($D$4=$J$5,J62-G62,K62-G62)))</f>
        <v>15494</v>
      </c>
    </row>
    <row r="63" spans="1:14" x14ac:dyDescent="0.2">
      <c r="F63" s="78"/>
      <c r="G63" s="37"/>
      <c r="H63" s="96"/>
      <c r="I63" s="97"/>
      <c r="J63" s="97"/>
      <c r="K63" s="97"/>
      <c r="L63" s="37"/>
      <c r="M63" s="38"/>
      <c r="N63" s="51"/>
    </row>
    <row r="64" spans="1:14" ht="13.2" thickBot="1" x14ac:dyDescent="0.25">
      <c r="A64" s="1" t="s">
        <v>378</v>
      </c>
      <c r="F64" s="82"/>
      <c r="G64" s="43">
        <f t="shared" ref="G64:L64" si="27">+G55+G62</f>
        <v>71886</v>
      </c>
      <c r="H64" s="268">
        <f t="shared" si="27"/>
        <v>77241</v>
      </c>
      <c r="I64" s="105">
        <f t="shared" si="27"/>
        <v>61702</v>
      </c>
      <c r="J64" s="275">
        <f t="shared" si="27"/>
        <v>59765</v>
      </c>
      <c r="K64" s="289">
        <f t="shared" si="27"/>
        <v>82881</v>
      </c>
      <c r="L64" s="43">
        <f t="shared" si="27"/>
        <v>59936</v>
      </c>
      <c r="M64" s="44">
        <f>IF($D$4=$H$5,H64-L64,IF($D$4=$I$5,I64-L64,IF($D$4=$J$5,J64-L64,K64-L64)))</f>
        <v>22945</v>
      </c>
      <c r="N64" s="58">
        <f>IF($D$4=$H$5,H64-G64,IF($D$4=$I$5,I64-G64,IF($D$4=$J$5,J64-G64,K64-G64)))</f>
        <v>10995</v>
      </c>
    </row>
    <row r="65" spans="1:14" ht="13.2" thickTop="1" x14ac:dyDescent="0.2">
      <c r="F65" s="9"/>
      <c r="G65" s="34"/>
      <c r="H65" s="93"/>
      <c r="I65" s="93"/>
      <c r="J65" s="93"/>
      <c r="K65" s="93"/>
      <c r="L65" s="38"/>
      <c r="M65" s="34"/>
      <c r="N65" s="34"/>
    </row>
    <row r="66" spans="1:14" x14ac:dyDescent="0.2">
      <c r="A66" t="s">
        <v>399</v>
      </c>
      <c r="F66" s="9"/>
      <c r="G66" s="59">
        <f>+G45-G64</f>
        <v>0</v>
      </c>
      <c r="H66" s="106">
        <f>+H45-H64</f>
        <v>0</v>
      </c>
      <c r="I66" s="107">
        <f t="shared" ref="I66:J66" si="28">+I45-I64</f>
        <v>0</v>
      </c>
      <c r="J66" s="107">
        <f t="shared" si="28"/>
        <v>0</v>
      </c>
      <c r="K66" s="107">
        <f>+K45-K64</f>
        <v>0</v>
      </c>
      <c r="L66" s="228">
        <f t="shared" ref="L66:N66" si="29">+L45-L64</f>
        <v>0</v>
      </c>
      <c r="M66" s="228">
        <f>ROUND(+M45-M64,4)</f>
        <v>0</v>
      </c>
      <c r="N66" s="59">
        <f t="shared" si="29"/>
        <v>0</v>
      </c>
    </row>
    <row r="67" spans="1:14" x14ac:dyDescent="0.2">
      <c r="H67" s="87"/>
      <c r="I67" s="87"/>
      <c r="J67" s="87"/>
      <c r="K67" s="87"/>
      <c r="L67" s="229"/>
    </row>
    <row r="68" spans="1:14" x14ac:dyDescent="0.2">
      <c r="H68" s="87"/>
      <c r="I68" s="87"/>
      <c r="J68" s="87"/>
      <c r="K68" s="83"/>
    </row>
    <row r="69" spans="1:14" x14ac:dyDescent="0.2">
      <c r="H69" s="87"/>
      <c r="I69" s="87"/>
      <c r="J69" s="87"/>
      <c r="K69" s="87"/>
    </row>
    <row r="70" spans="1:14" x14ac:dyDescent="0.2">
      <c r="A70" s="1" t="s">
        <v>400</v>
      </c>
      <c r="F70" s="13"/>
      <c r="G70" s="13"/>
      <c r="H70" s="108"/>
      <c r="I70" s="108"/>
      <c r="J70" s="108"/>
      <c r="K70" s="108"/>
    </row>
    <row r="71" spans="1:14" x14ac:dyDescent="0.2">
      <c r="B71" t="s">
        <v>401</v>
      </c>
      <c r="F71" s="12">
        <v>3115</v>
      </c>
      <c r="G71" s="111">
        <v>12654</v>
      </c>
      <c r="H71" s="109">
        <v>12654</v>
      </c>
      <c r="I71" s="110">
        <f>12654</f>
        <v>12654</v>
      </c>
      <c r="J71" s="110">
        <v>12654</v>
      </c>
      <c r="K71" s="110">
        <v>12654</v>
      </c>
      <c r="L71" s="23"/>
    </row>
    <row r="72" spans="1:14" x14ac:dyDescent="0.2">
      <c r="B72" t="s">
        <v>402</v>
      </c>
      <c r="F72" s="3">
        <v>3116</v>
      </c>
      <c r="G72" s="111">
        <v>1047</v>
      </c>
      <c r="H72" s="109">
        <v>1047</v>
      </c>
      <c r="I72" s="110">
        <v>1047</v>
      </c>
      <c r="J72" s="110">
        <v>1047</v>
      </c>
      <c r="K72" s="110">
        <v>1047</v>
      </c>
      <c r="L72" s="32"/>
    </row>
    <row r="73" spans="1:14" x14ac:dyDescent="0.2">
      <c r="B73" t="s">
        <v>403</v>
      </c>
      <c r="F73" s="3">
        <v>3112</v>
      </c>
      <c r="G73" s="111">
        <v>3374</v>
      </c>
      <c r="H73" s="109">
        <v>3374.35</v>
      </c>
      <c r="I73" s="110">
        <v>3374.35</v>
      </c>
      <c r="J73" s="110">
        <v>3374</v>
      </c>
      <c r="K73" s="110">
        <v>3374</v>
      </c>
      <c r="L73" s="32"/>
    </row>
    <row r="74" spans="1:14" x14ac:dyDescent="0.2">
      <c r="B74" t="s">
        <v>347</v>
      </c>
      <c r="F74" s="3">
        <v>3113</v>
      </c>
      <c r="G74" s="111">
        <v>13095</v>
      </c>
      <c r="H74" s="109">
        <v>13095</v>
      </c>
      <c r="I74" s="110">
        <v>13095</v>
      </c>
      <c r="J74" s="110">
        <v>13095</v>
      </c>
      <c r="K74" s="110">
        <v>13095</v>
      </c>
      <c r="L74" s="32"/>
    </row>
    <row r="75" spans="1:14" x14ac:dyDescent="0.2">
      <c r="B75" t="s">
        <v>404</v>
      </c>
      <c r="F75" s="3">
        <v>3117</v>
      </c>
      <c r="G75" s="111"/>
      <c r="H75" s="109"/>
      <c r="I75" s="110"/>
      <c r="J75" s="110"/>
      <c r="K75" s="110"/>
      <c r="L75" s="32"/>
    </row>
    <row r="76" spans="1:14" x14ac:dyDescent="0.2">
      <c r="B76" t="s">
        <v>405</v>
      </c>
      <c r="F76" s="3">
        <v>3118</v>
      </c>
      <c r="G76" s="111"/>
      <c r="H76" s="109"/>
      <c r="I76" s="110"/>
      <c r="J76" s="110"/>
      <c r="K76" s="110"/>
      <c r="L76" s="32"/>
    </row>
    <row r="77" spans="1:14" x14ac:dyDescent="0.2">
      <c r="B77" t="s">
        <v>406</v>
      </c>
      <c r="F77" s="3">
        <v>3119</v>
      </c>
      <c r="G77" s="111">
        <v>4658</v>
      </c>
      <c r="H77" s="109">
        <v>4657</v>
      </c>
      <c r="I77" s="110">
        <v>4657</v>
      </c>
      <c r="J77" s="110">
        <v>4657</v>
      </c>
      <c r="K77" s="110">
        <v>4657</v>
      </c>
      <c r="L77" s="32"/>
    </row>
    <row r="78" spans="1:14" x14ac:dyDescent="0.2">
      <c r="B78" t="s">
        <v>407</v>
      </c>
      <c r="F78" s="3">
        <v>3120</v>
      </c>
      <c r="G78" s="19">
        <v>2271</v>
      </c>
      <c r="H78" s="109">
        <v>2271.65</v>
      </c>
      <c r="I78" s="110">
        <v>2271.65</v>
      </c>
      <c r="J78" s="110">
        <v>2272</v>
      </c>
      <c r="K78" s="110">
        <v>2272</v>
      </c>
      <c r="L78" s="32"/>
    </row>
    <row r="79" spans="1:14" x14ac:dyDescent="0.2">
      <c r="B79" t="s">
        <v>408</v>
      </c>
      <c r="F79" s="3">
        <v>3121</v>
      </c>
      <c r="G79" s="19"/>
      <c r="H79" s="109"/>
      <c r="I79" s="110"/>
      <c r="J79" s="110"/>
      <c r="K79" s="110"/>
      <c r="L79" s="32"/>
    </row>
    <row r="80" spans="1:14" x14ac:dyDescent="0.2">
      <c r="B80" t="s">
        <v>409</v>
      </c>
      <c r="F80" s="3">
        <v>3122</v>
      </c>
      <c r="G80" s="19"/>
      <c r="H80" s="109"/>
      <c r="I80" s="110"/>
      <c r="J80" s="110"/>
      <c r="K80" s="110"/>
      <c r="L80" s="32"/>
    </row>
    <row r="81" spans="2:12" x14ac:dyDescent="0.2">
      <c r="B81" t="s">
        <v>410</v>
      </c>
      <c r="F81" s="3">
        <v>3123</v>
      </c>
      <c r="G81" s="19">
        <v>779</v>
      </c>
      <c r="H81" s="109">
        <v>779</v>
      </c>
      <c r="I81" s="110">
        <v>779</v>
      </c>
      <c r="J81" s="110">
        <v>779</v>
      </c>
      <c r="K81" s="110">
        <v>779</v>
      </c>
      <c r="L81" s="32"/>
    </row>
    <row r="82" spans="2:12" x14ac:dyDescent="0.2">
      <c r="F82" s="3"/>
      <c r="G82" s="19"/>
      <c r="H82" s="109"/>
      <c r="I82" s="110"/>
      <c r="J82" s="110"/>
      <c r="K82" s="111"/>
      <c r="L82" s="32"/>
    </row>
    <row r="83" spans="2:12" x14ac:dyDescent="0.2">
      <c r="F83" s="20"/>
      <c r="G83" s="19"/>
      <c r="H83" s="109"/>
      <c r="I83" s="110"/>
      <c r="J83" s="110"/>
      <c r="K83" s="111"/>
      <c r="L83" s="32"/>
    </row>
    <row r="84" spans="2:12" ht="13.2" thickBot="1" x14ac:dyDescent="0.25">
      <c r="B84" s="1" t="s">
        <v>263</v>
      </c>
      <c r="F84" s="21"/>
      <c r="G84" s="22">
        <f>SUM(G71:G83)</f>
        <v>37878</v>
      </c>
      <c r="H84" s="112">
        <f>SUM(H71:H83)</f>
        <v>37878</v>
      </c>
      <c r="I84" s="113">
        <f>SUM(I71:I83)</f>
        <v>37878</v>
      </c>
      <c r="J84" s="113">
        <f>SUM(J71:J83)</f>
        <v>37878</v>
      </c>
      <c r="K84" s="114">
        <f>SUM(K71:K83)</f>
        <v>37878</v>
      </c>
      <c r="L84" s="33"/>
    </row>
    <row r="85" spans="2:12" ht="13.2" thickTop="1" x14ac:dyDescent="0.2"/>
  </sheetData>
  <sheetProtection algorithmName="SHA-512" hashValue="noHHDDv2h1QSoCKbDrb47V4uf9ayfG9tOKJllgwdkbepsOVqaM8EKgWZNWT3mSOaSo9x0RW776HJVUzBBuAcsA==" saltValue="ePsF3A+oMDUuzAzGrjgPTA==" spinCount="100000" sheet="1" objects="1" scenarios="1"/>
  <phoneticPr fontId="4" type="noConversion"/>
  <pageMargins left="0.75" right="0.75" top="1" bottom="1" header="0.5" footer="0.5"/>
  <pageSetup scale="52" orientation="landscape" horizontalDpi="4294967292" verticalDpi="4294967292"/>
  <headerFooter alignWithMargins="0">
    <oddFooter>&amp;L&amp;F&amp;C&amp;D&amp;R&amp;A</oddFooter>
  </headerFooter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4"/>
    <pageSetUpPr fitToPage="1"/>
  </sheetPr>
  <dimension ref="A1:P31"/>
  <sheetViews>
    <sheetView zoomScaleNormal="100" workbookViewId="0"/>
  </sheetViews>
  <sheetFormatPr defaultColWidth="11.08984375" defaultRowHeight="12.6" x14ac:dyDescent="0.2"/>
  <cols>
    <col min="1" max="1" width="5.7265625" style="116" customWidth="1"/>
    <col min="2" max="2" width="5.08984375" style="116" customWidth="1"/>
    <col min="3" max="3" width="4.6328125" style="116" customWidth="1"/>
    <col min="4" max="4" width="4.36328125" style="116" customWidth="1"/>
    <col min="5" max="5" width="4.7265625" style="116" customWidth="1"/>
    <col min="6" max="6" width="7.6328125" style="116" customWidth="1"/>
    <col min="7" max="7" width="12.7265625" style="116" customWidth="1"/>
    <col min="8" max="9" width="11.08984375" style="116"/>
    <col min="10" max="10" width="12.90625" style="116" customWidth="1"/>
    <col min="11" max="11" width="11.08984375" style="116"/>
    <col min="12" max="12" width="12" style="116" customWidth="1"/>
    <col min="13" max="13" width="12.08984375" style="116" customWidth="1"/>
    <col min="14" max="16384" width="11.08984375" style="116"/>
  </cols>
  <sheetData>
    <row r="1" spans="1:15" ht="16.2" x14ac:dyDescent="0.3">
      <c r="A1" s="115" t="s">
        <v>188</v>
      </c>
    </row>
    <row r="2" spans="1:15" x14ac:dyDescent="0.2">
      <c r="A2" s="117" t="s">
        <v>220</v>
      </c>
    </row>
    <row r="3" spans="1:15" ht="13.2" thickBot="1" x14ac:dyDescent="0.25">
      <c r="A3" s="118" t="s">
        <v>266</v>
      </c>
      <c r="H3" s="116">
        <v>1</v>
      </c>
      <c r="I3" s="116">
        <v>2</v>
      </c>
      <c r="J3" s="116">
        <v>3</v>
      </c>
      <c r="K3" s="116">
        <v>4</v>
      </c>
    </row>
    <row r="4" spans="1:15" customFormat="1" ht="13.2" thickBot="1" x14ac:dyDescent="0.25">
      <c r="A4" s="1" t="s">
        <v>34</v>
      </c>
      <c r="E4" s="18">
        <v>4</v>
      </c>
      <c r="G4" s="63" t="s">
        <v>263</v>
      </c>
      <c r="H4" s="8" t="s">
        <v>134</v>
      </c>
      <c r="I4" s="6" t="s">
        <v>134</v>
      </c>
      <c r="J4" s="6" t="s">
        <v>134</v>
      </c>
      <c r="K4" s="6" t="s">
        <v>134</v>
      </c>
      <c r="L4" s="72" t="s">
        <v>29</v>
      </c>
      <c r="M4" s="30" t="s">
        <v>19</v>
      </c>
      <c r="N4" s="73" t="s">
        <v>135</v>
      </c>
      <c r="O4" s="64" t="s">
        <v>136</v>
      </c>
    </row>
    <row r="5" spans="1:15" customFormat="1" x14ac:dyDescent="0.2">
      <c r="G5" s="62" t="s">
        <v>426</v>
      </c>
      <c r="H5" s="69">
        <v>41089</v>
      </c>
      <c r="I5" s="70">
        <v>41181</v>
      </c>
      <c r="J5" s="70">
        <v>41273</v>
      </c>
      <c r="K5" s="7">
        <v>41363</v>
      </c>
      <c r="L5" s="31" t="s">
        <v>438</v>
      </c>
      <c r="M5" s="27" t="s">
        <v>438</v>
      </c>
      <c r="N5" s="74" t="s">
        <v>19</v>
      </c>
      <c r="O5" s="66" t="s">
        <v>125</v>
      </c>
    </row>
    <row r="6" spans="1:15" x14ac:dyDescent="0.2">
      <c r="G6" s="120"/>
      <c r="L6" s="120"/>
      <c r="M6" s="120"/>
      <c r="O6" s="121"/>
    </row>
    <row r="7" spans="1:15" x14ac:dyDescent="0.2">
      <c r="A7" s="118" t="s">
        <v>59</v>
      </c>
      <c r="G7" s="122">
        <v>48131.229999999996</v>
      </c>
      <c r="H7" s="123">
        <f>G25</f>
        <v>71886.23</v>
      </c>
      <c r="I7" s="123">
        <f>H25</f>
        <v>77240.759999999995</v>
      </c>
      <c r="J7" s="123">
        <f>I25</f>
        <v>61702.229999999996</v>
      </c>
      <c r="K7" s="123">
        <f>J25</f>
        <v>59765.229999999996</v>
      </c>
      <c r="L7" s="122">
        <f>G25</f>
        <v>71886.23</v>
      </c>
      <c r="M7" s="122">
        <f>+L7</f>
        <v>71886.23</v>
      </c>
      <c r="N7" s="123">
        <f>L7-M7</f>
        <v>0</v>
      </c>
      <c r="O7" s="124">
        <f>L7-G7</f>
        <v>23755</v>
      </c>
    </row>
    <row r="8" spans="1:15" x14ac:dyDescent="0.2">
      <c r="G8" s="125"/>
      <c r="H8" s="126"/>
      <c r="I8" s="126"/>
      <c r="J8" s="126"/>
      <c r="K8" s="126"/>
      <c r="L8" s="125"/>
      <c r="M8" s="125"/>
      <c r="N8" s="126"/>
      <c r="O8" s="127"/>
    </row>
    <row r="9" spans="1:15" x14ac:dyDescent="0.2">
      <c r="A9" s="118" t="s">
        <v>63</v>
      </c>
      <c r="G9" s="128">
        <v>20047</v>
      </c>
      <c r="H9" s="129">
        <f>+'ESL Inc Stmt'!L88</f>
        <v>7143.53</v>
      </c>
      <c r="I9" s="129">
        <f>+'ESL Inc Stmt'!M88</f>
        <v>10872.469999999998</v>
      </c>
      <c r="J9" s="129">
        <f>+'ESL Inc Stmt'!N88</f>
        <v>6349</v>
      </c>
      <c r="K9" s="129">
        <f>+'ESL Inc Stmt'!O88</f>
        <v>10672</v>
      </c>
      <c r="L9" s="128">
        <f>SUM(H9:K9)</f>
        <v>35037</v>
      </c>
      <c r="M9" s="128">
        <f>'ESL Inc Stmt'!Q88</f>
        <v>19250</v>
      </c>
      <c r="N9" s="129">
        <f>L9-M9</f>
        <v>15787</v>
      </c>
      <c r="O9" s="130">
        <f>L9-G9</f>
        <v>14990</v>
      </c>
    </row>
    <row r="10" spans="1:15" x14ac:dyDescent="0.2">
      <c r="G10" s="131"/>
      <c r="H10" s="132"/>
      <c r="I10" s="132"/>
      <c r="J10" s="132"/>
      <c r="K10" s="132"/>
      <c r="L10" s="131"/>
      <c r="M10" s="131"/>
      <c r="N10" s="132"/>
      <c r="O10" s="133"/>
    </row>
    <row r="11" spans="1:15" x14ac:dyDescent="0.2">
      <c r="A11" s="118" t="s">
        <v>64</v>
      </c>
      <c r="G11" s="128">
        <v>-8676</v>
      </c>
      <c r="H11" s="129">
        <f>-'ESL Inc Stmt'!L132</f>
        <v>0</v>
      </c>
      <c r="I11" s="129">
        <f>-'ESL Inc Stmt'!M132</f>
        <v>-27851</v>
      </c>
      <c r="J11" s="129">
        <f>-'ESL Inc Stmt'!N132</f>
        <v>-10268</v>
      </c>
      <c r="K11" s="129">
        <f>-'ESL Inc Stmt'!O132</f>
        <v>0</v>
      </c>
      <c r="L11" s="128">
        <f>SUM(H11:K11)</f>
        <v>-38119</v>
      </c>
      <c r="M11" s="128">
        <f>-'ESL Bal Sheet'!L58</f>
        <v>-40500</v>
      </c>
      <c r="N11" s="129">
        <f>L11-M11</f>
        <v>2381</v>
      </c>
      <c r="O11" s="130">
        <f>L11-G11</f>
        <v>-29443</v>
      </c>
    </row>
    <row r="12" spans="1:15" x14ac:dyDescent="0.2">
      <c r="G12" s="131"/>
      <c r="H12" s="132"/>
      <c r="I12" s="132"/>
      <c r="J12" s="132"/>
      <c r="K12" s="132"/>
      <c r="L12" s="131"/>
      <c r="M12" s="131"/>
      <c r="N12" s="132"/>
      <c r="O12" s="133"/>
    </row>
    <row r="13" spans="1:15" x14ac:dyDescent="0.2">
      <c r="A13" s="118" t="s">
        <v>61</v>
      </c>
      <c r="G13" s="128">
        <v>3079</v>
      </c>
      <c r="H13" s="129">
        <f>IF(E4=1,'ESL Bal Sheet'!H55-'ESL Bal Sheet'!G55,'ESL Bal Sheet'!H55-'ESL Bal Sheet'!G55)</f>
        <v>-1789</v>
      </c>
      <c r="I13" s="129">
        <f>IF($E$4=2,'ESL Bal Sheet'!I55-'ESL Bal Sheet'!H55,IF(E4=3,'ESL Bal Sheet'!I55-'ESL Bal Sheet'!H55,IF(E4=4,'ESL Bal Sheet'!I55-'ESL Bal Sheet'!H55,0)))</f>
        <v>1440</v>
      </c>
      <c r="J13" s="129">
        <f>IF($E$4=3,'ESL Bal Sheet'!J55-'ESL Bal Sheet'!I55,IF(E4=4,'ESL Bal Sheet'!J55-'ESL Bal Sheet'!I55,0))</f>
        <v>-4094</v>
      </c>
      <c r="K13" s="129">
        <f>IF($E$4=4,'ESL Bal Sheet'!K55-'ESL Bal Sheet'!J55,0)</f>
        <v>-56</v>
      </c>
      <c r="L13" s="128">
        <f>SUM(H13:K13)</f>
        <v>-4499</v>
      </c>
      <c r="M13" s="128">
        <v>0</v>
      </c>
      <c r="N13" s="129">
        <f>L13-M13</f>
        <v>-4499</v>
      </c>
      <c r="O13" s="130">
        <f>L13-G13</f>
        <v>-7578</v>
      </c>
    </row>
    <row r="14" spans="1:15" x14ac:dyDescent="0.2">
      <c r="G14" s="131"/>
      <c r="H14" s="126"/>
      <c r="I14" s="126"/>
      <c r="J14" s="126"/>
      <c r="K14" s="132"/>
      <c r="L14" s="131"/>
      <c r="M14" s="131"/>
      <c r="N14" s="132"/>
      <c r="O14" s="133"/>
    </row>
    <row r="15" spans="1:15" x14ac:dyDescent="0.2">
      <c r="G15" s="131"/>
      <c r="H15" s="132"/>
      <c r="I15" s="132"/>
      <c r="J15" s="132"/>
      <c r="K15" s="132"/>
      <c r="L15" s="131"/>
      <c r="M15" s="131"/>
      <c r="N15" s="132"/>
      <c r="O15" s="133"/>
    </row>
    <row r="16" spans="1:15" x14ac:dyDescent="0.2">
      <c r="A16" s="118" t="s">
        <v>62</v>
      </c>
      <c r="G16" s="128">
        <v>0</v>
      </c>
      <c r="H16" s="129">
        <f>IF(E7=1,'ESL Bal Sheet'!H43-'ESL Bal Sheet'!G43,'ESL Bal Sheet'!H43-'ESL Bal Sheet'!G43)</f>
        <v>0</v>
      </c>
      <c r="I16" s="129">
        <f>IF($E$4=2,'ESL Bal Sheet'!I43-'ESL Bal Sheet'!H43,IF(E7=3,'ESL Bal Sheet'!I43-'ESL Bal Sheet'!H43,IF(E7=4,'ESL Bal Sheet'!I43-'ESL Bal Sheet'!H43,0)))</f>
        <v>0</v>
      </c>
      <c r="J16" s="129">
        <f>IF($E$4=3,'ESL Bal Sheet'!J43-'ESL Bal Sheet'!I43,IF(E7=4,'ESL Bal Sheet'!J43-'ESL Bal Sheet'!I43,0))</f>
        <v>0</v>
      </c>
      <c r="K16" s="129">
        <f>IF($E$4=4,'ESL Bal Sheet'!K43-'ESL Bal Sheet'!J43,0)</f>
        <v>0</v>
      </c>
      <c r="L16" s="128">
        <f>SUM(H16:K16)</f>
        <v>0</v>
      </c>
      <c r="M16" s="128">
        <v>0</v>
      </c>
      <c r="N16" s="129">
        <f>L16-M16</f>
        <v>0</v>
      </c>
      <c r="O16" s="130">
        <f>L16-G16</f>
        <v>0</v>
      </c>
    </row>
    <row r="17" spans="1:16" x14ac:dyDescent="0.2">
      <c r="G17" s="131"/>
      <c r="H17" s="132"/>
      <c r="I17" s="132"/>
      <c r="J17" s="132"/>
      <c r="K17" s="132"/>
      <c r="L17" s="131"/>
      <c r="M17" s="131"/>
      <c r="N17" s="132"/>
      <c r="O17" s="133"/>
    </row>
    <row r="18" spans="1:16" x14ac:dyDescent="0.2">
      <c r="A18" s="118" t="s">
        <v>65</v>
      </c>
      <c r="G18" s="131"/>
      <c r="H18" s="132"/>
      <c r="I18" s="132"/>
      <c r="J18" s="132"/>
      <c r="K18" s="132"/>
      <c r="L18" s="131"/>
      <c r="M18" s="131"/>
      <c r="N18" s="132"/>
      <c r="O18" s="133"/>
    </row>
    <row r="19" spans="1:16" x14ac:dyDescent="0.2">
      <c r="B19" s="116" t="s">
        <v>26</v>
      </c>
      <c r="G19" s="131">
        <v>0</v>
      </c>
      <c r="H19" s="132"/>
      <c r="I19" s="132"/>
      <c r="J19" s="132"/>
      <c r="K19" s="132"/>
      <c r="L19" s="131">
        <f>SUM(H19:K19)</f>
        <v>0</v>
      </c>
      <c r="M19" s="131"/>
      <c r="N19" s="132">
        <f>L19-M19</f>
        <v>0</v>
      </c>
      <c r="O19" s="133">
        <f>L19-G19</f>
        <v>0</v>
      </c>
    </row>
    <row r="20" spans="1:16" x14ac:dyDescent="0.2">
      <c r="B20" s="116" t="s">
        <v>56</v>
      </c>
      <c r="G20" s="131">
        <v>0</v>
      </c>
      <c r="H20" s="132"/>
      <c r="I20" s="132"/>
      <c r="J20" s="132"/>
      <c r="K20" s="132"/>
      <c r="L20" s="131">
        <f>SUM(H20:K20)</f>
        <v>0</v>
      </c>
      <c r="M20" s="131"/>
      <c r="N20" s="132">
        <f>L20-M20</f>
        <v>0</v>
      </c>
      <c r="O20" s="133">
        <f>L20-G20</f>
        <v>0</v>
      </c>
    </row>
    <row r="21" spans="1:16" x14ac:dyDescent="0.2">
      <c r="B21" s="116" t="s">
        <v>57</v>
      </c>
      <c r="G21" s="131">
        <v>9305</v>
      </c>
      <c r="H21" s="132">
        <f>+'ESL Inc Stmt'!L109</f>
        <v>0</v>
      </c>
      <c r="I21" s="132">
        <f>+'ESL Inc Stmt'!M109</f>
        <v>0</v>
      </c>
      <c r="J21" s="132">
        <f>+'ESL Inc Stmt'!N109</f>
        <v>6076</v>
      </c>
      <c r="K21" s="132">
        <f>+'ESL Inc Stmt'!O109</f>
        <v>12500</v>
      </c>
      <c r="L21" s="131">
        <f>SUM(H21:K21)</f>
        <v>18576</v>
      </c>
      <c r="M21" s="131">
        <v>9300</v>
      </c>
      <c r="N21" s="132">
        <f>L21-M21</f>
        <v>9276</v>
      </c>
      <c r="O21" s="133">
        <f>L21-G21</f>
        <v>9271</v>
      </c>
    </row>
    <row r="22" spans="1:16" x14ac:dyDescent="0.2">
      <c r="G22" s="131"/>
      <c r="H22" s="132"/>
      <c r="I22" s="132"/>
      <c r="J22" s="132"/>
      <c r="K22" s="132"/>
      <c r="L22" s="131"/>
      <c r="M22" s="131"/>
      <c r="N22" s="132"/>
      <c r="O22" s="133"/>
    </row>
    <row r="23" spans="1:16" x14ac:dyDescent="0.2">
      <c r="B23" s="118" t="s">
        <v>58</v>
      </c>
      <c r="G23" s="128">
        <v>9305</v>
      </c>
      <c r="H23" s="129">
        <f t="shared" ref="H23:M23" si="0">SUM(H19:H21)</f>
        <v>0</v>
      </c>
      <c r="I23" s="129">
        <f t="shared" si="0"/>
        <v>0</v>
      </c>
      <c r="J23" s="129">
        <f t="shared" si="0"/>
        <v>6076</v>
      </c>
      <c r="K23" s="129">
        <f t="shared" si="0"/>
        <v>12500</v>
      </c>
      <c r="L23" s="128">
        <f t="shared" si="0"/>
        <v>18576</v>
      </c>
      <c r="M23" s="128">
        <f t="shared" si="0"/>
        <v>9300</v>
      </c>
      <c r="N23" s="129">
        <f>L23-M23</f>
        <v>9276</v>
      </c>
      <c r="O23" s="130">
        <f>L23-G23</f>
        <v>9271</v>
      </c>
    </row>
    <row r="24" spans="1:16" x14ac:dyDescent="0.2">
      <c r="G24" s="134"/>
      <c r="H24" s="126"/>
      <c r="I24" s="126"/>
      <c r="J24" s="126"/>
      <c r="K24" s="126"/>
      <c r="L24" s="134"/>
      <c r="M24" s="134"/>
      <c r="N24" s="126"/>
      <c r="O24" s="127"/>
    </row>
    <row r="25" spans="1:16" ht="13.2" thickBot="1" x14ac:dyDescent="0.25">
      <c r="A25" s="118" t="s">
        <v>60</v>
      </c>
      <c r="G25" s="135">
        <v>71886.23</v>
      </c>
      <c r="H25" s="136">
        <f t="shared" ref="H25:M25" si="1">+H7+H9+H11+H13+H16+H23</f>
        <v>77240.759999999995</v>
      </c>
      <c r="I25" s="136">
        <f t="shared" si="1"/>
        <v>61702.229999999996</v>
      </c>
      <c r="J25" s="136">
        <f t="shared" si="1"/>
        <v>59765.229999999996</v>
      </c>
      <c r="K25" s="136">
        <f t="shared" si="1"/>
        <v>82881.23</v>
      </c>
      <c r="L25" s="135">
        <f t="shared" si="1"/>
        <v>82881.23</v>
      </c>
      <c r="M25" s="135">
        <f t="shared" si="1"/>
        <v>59936.229999999996</v>
      </c>
      <c r="N25" s="136">
        <f>L25-M25</f>
        <v>22945</v>
      </c>
      <c r="O25" s="137">
        <f>L25-G25</f>
        <v>10995</v>
      </c>
    </row>
    <row r="26" spans="1:16" ht="13.2" thickTop="1" x14ac:dyDescent="0.2">
      <c r="G26" s="132"/>
      <c r="H26" s="132"/>
      <c r="I26" s="132"/>
      <c r="J26" s="132"/>
      <c r="K26" s="132"/>
      <c r="L26" s="132"/>
      <c r="M26" s="132"/>
      <c r="N26" s="132"/>
      <c r="O26" s="132"/>
    </row>
    <row r="27" spans="1:16" x14ac:dyDescent="0.2">
      <c r="G27" s="132"/>
      <c r="H27" s="132"/>
      <c r="I27" s="132"/>
      <c r="J27" s="132"/>
      <c r="K27" s="132"/>
      <c r="L27" s="132"/>
      <c r="M27" s="132"/>
      <c r="N27" s="132"/>
      <c r="O27" s="132"/>
    </row>
    <row r="28" spans="1:16" x14ac:dyDescent="0.2">
      <c r="A28" s="116" t="s">
        <v>69</v>
      </c>
      <c r="G28" s="126"/>
      <c r="H28" s="126"/>
      <c r="I28" s="126"/>
      <c r="J28" s="126"/>
      <c r="K28" s="126"/>
      <c r="L28" s="126"/>
      <c r="M28" s="126"/>
      <c r="N28" s="126"/>
      <c r="O28" s="126"/>
    </row>
    <row r="29" spans="1:16" x14ac:dyDescent="0.2">
      <c r="B29" s="116" t="s">
        <v>70</v>
      </c>
      <c r="G29" s="132">
        <v>71886</v>
      </c>
      <c r="H29" s="132">
        <f>+'ESL Bal Sheet'!H31</f>
        <v>77241</v>
      </c>
      <c r="I29" s="132">
        <f>+'ESL Bal Sheet'!I31</f>
        <v>61702</v>
      </c>
      <c r="J29" s="132">
        <f>+'ESL Bal Sheet'!J31</f>
        <v>59765</v>
      </c>
      <c r="K29" s="132">
        <f>+'ESL Bal Sheet'!K31</f>
        <v>82881</v>
      </c>
      <c r="L29" s="132">
        <f>+K29</f>
        <v>82881</v>
      </c>
      <c r="M29" s="132">
        <f>'ESL Bal Sheet'!L22</f>
        <v>59936</v>
      </c>
      <c r="N29" s="132"/>
      <c r="O29" s="132"/>
    </row>
    <row r="30" spans="1:16" ht="13.2" thickBot="1" x14ac:dyDescent="0.25">
      <c r="B30" s="116" t="s">
        <v>71</v>
      </c>
      <c r="G30" s="138">
        <v>0.22999999999592546</v>
      </c>
      <c r="H30" s="138">
        <f t="shared" ref="H30:M30" si="2">+H25-H29</f>
        <v>-0.24000000000523869</v>
      </c>
      <c r="I30" s="138">
        <f t="shared" si="2"/>
        <v>0.22999999999592546</v>
      </c>
      <c r="J30" s="138">
        <f t="shared" si="2"/>
        <v>0.22999999999592546</v>
      </c>
      <c r="K30" s="138">
        <f t="shared" si="2"/>
        <v>0.22999999999592546</v>
      </c>
      <c r="L30" s="138">
        <f t="shared" si="2"/>
        <v>0.22999999999592546</v>
      </c>
      <c r="M30" s="138">
        <f t="shared" si="2"/>
        <v>0.22999999999592546</v>
      </c>
      <c r="N30" s="126"/>
      <c r="O30" s="126"/>
      <c r="P30" s="126"/>
    </row>
    <row r="31" spans="1:16" ht="13.2" thickTop="1" x14ac:dyDescent="0.2"/>
  </sheetData>
  <sheetProtection algorithmName="SHA-512" hashValue="9ymJTFsKNZPk5b+n174Myi8WrSZWj2tsh0d5nzrG05WTOg/JyT9uXGOvwWW0oybVrD4HQDJp7Ir3UuOMRQBDEg==" saltValue="S3BOaIBjRpcSbv4YJ9pThw==" spinCount="100000" sheet="1" objects="1" scenarios="1"/>
  <phoneticPr fontId="4" type="noConversion"/>
  <pageMargins left="0.75" right="0.75" top="1" bottom="1" header="0.5" footer="0.5"/>
  <pageSetup scale="73" orientation="landscape" horizontalDpi="4294967292" verticalDpi="4294967292"/>
  <headerFooter alignWithMargins="0">
    <oddFooter>&amp;L&amp;F&amp;C&amp;D&amp;R&amp;A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7"/>
    <pageSetUpPr fitToPage="1"/>
  </sheetPr>
  <dimension ref="A1:P85"/>
  <sheetViews>
    <sheetView zoomScaleNormal="100" workbookViewId="0">
      <pane xSplit="5" ySplit="7" topLeftCell="F8" activePane="bottomRight" state="frozen"/>
      <selection activeCell="E141" sqref="E141"/>
      <selection pane="topRight" activeCell="E141" sqref="E141"/>
      <selection pane="bottomLeft" activeCell="E141" sqref="E141"/>
      <selection pane="bottomRight" activeCell="F8" sqref="F8"/>
    </sheetView>
  </sheetViews>
  <sheetFormatPr defaultColWidth="11.08984375" defaultRowHeight="12.6" outlineLevelRow="1" x14ac:dyDescent="0.2"/>
  <cols>
    <col min="1" max="1" width="5.90625" customWidth="1"/>
    <col min="2" max="2" width="6.36328125" customWidth="1"/>
    <col min="3" max="3" width="4.08984375" customWidth="1"/>
    <col min="4" max="4" width="3.90625" customWidth="1"/>
    <col min="5" max="5" width="10.08984375" customWidth="1"/>
    <col min="6" max="6" width="8.90625" customWidth="1"/>
    <col min="7" max="7" width="12.36328125" customWidth="1"/>
    <col min="9" max="9" width="14.08984375" bestFit="1" customWidth="1"/>
    <col min="10" max="10" width="12.6328125" customWidth="1"/>
    <col min="12" max="12" width="12" customWidth="1"/>
    <col min="13" max="14" width="14.7265625" bestFit="1" customWidth="1"/>
  </cols>
  <sheetData>
    <row r="1" spans="1:15" ht="16.2" x14ac:dyDescent="0.3">
      <c r="A1" s="2" t="s">
        <v>188</v>
      </c>
    </row>
    <row r="2" spans="1:15" x14ac:dyDescent="0.2">
      <c r="A2" s="14" t="s">
        <v>81</v>
      </c>
      <c r="I2" s="15"/>
    </row>
    <row r="3" spans="1:15" ht="16.8" thickBot="1" x14ac:dyDescent="0.35">
      <c r="A3" s="2" t="s">
        <v>197</v>
      </c>
    </row>
    <row r="4" spans="1:15" ht="13.2" thickBot="1" x14ac:dyDescent="0.25">
      <c r="A4" s="1" t="s">
        <v>34</v>
      </c>
      <c r="D4" s="18">
        <v>4</v>
      </c>
    </row>
    <row r="5" spans="1:15" x14ac:dyDescent="0.2">
      <c r="E5" s="17"/>
      <c r="G5" s="71" t="s">
        <v>86</v>
      </c>
      <c r="H5">
        <v>1</v>
      </c>
      <c r="I5">
        <v>2</v>
      </c>
      <c r="J5">
        <v>3</v>
      </c>
      <c r="K5">
        <v>4</v>
      </c>
    </row>
    <row r="6" spans="1:15" ht="16.2" x14ac:dyDescent="0.3">
      <c r="A6" s="2"/>
      <c r="F6" s="79" t="s">
        <v>212</v>
      </c>
      <c r="G6" s="61" t="s">
        <v>78</v>
      </c>
      <c r="H6" s="35" t="s">
        <v>134</v>
      </c>
      <c r="I6" s="36" t="s">
        <v>134</v>
      </c>
      <c r="J6" s="36" t="s">
        <v>134</v>
      </c>
      <c r="K6" s="230" t="s">
        <v>78</v>
      </c>
      <c r="L6" s="234" t="s">
        <v>19</v>
      </c>
      <c r="M6" s="67" t="s">
        <v>135</v>
      </c>
      <c r="N6" s="68" t="s">
        <v>136</v>
      </c>
    </row>
    <row r="7" spans="1:15" x14ac:dyDescent="0.2">
      <c r="F7" s="80" t="s">
        <v>213</v>
      </c>
      <c r="G7" s="62">
        <v>40998</v>
      </c>
      <c r="H7" s="69">
        <v>41089</v>
      </c>
      <c r="I7" s="70">
        <v>41181</v>
      </c>
      <c r="J7" s="70">
        <v>41273</v>
      </c>
      <c r="K7" s="231">
        <v>41363</v>
      </c>
      <c r="L7" s="235" t="s">
        <v>438</v>
      </c>
      <c r="M7" s="65" t="s">
        <v>19</v>
      </c>
      <c r="N7" s="66" t="s">
        <v>125</v>
      </c>
    </row>
    <row r="8" spans="1:15" x14ac:dyDescent="0.2">
      <c r="A8" s="1" t="s">
        <v>146</v>
      </c>
      <c r="F8" s="81"/>
      <c r="G8" s="76"/>
      <c r="H8" s="92"/>
      <c r="I8" s="93"/>
      <c r="J8" s="93"/>
      <c r="K8" s="93"/>
      <c r="L8" s="47"/>
      <c r="M8" s="34"/>
      <c r="N8" s="48"/>
    </row>
    <row r="9" spans="1:15" x14ac:dyDescent="0.2">
      <c r="F9" s="78"/>
      <c r="G9" s="49"/>
      <c r="H9" s="94"/>
      <c r="I9" s="95"/>
      <c r="J9" s="95"/>
      <c r="K9" s="95"/>
      <c r="L9" s="49"/>
      <c r="M9" s="46"/>
      <c r="N9" s="50"/>
    </row>
    <row r="10" spans="1:15" x14ac:dyDescent="0.2">
      <c r="B10" t="s">
        <v>234</v>
      </c>
      <c r="F10" s="78"/>
      <c r="G10" s="37">
        <f>+'CAC Bal Sheet'!G10+'AL Bal Sheet'!G10+'ESL Bal Sheet'!G10</f>
        <v>44974.37</v>
      </c>
      <c r="H10" s="96">
        <f>+'CAC Bal Sheet'!H10+'AL Bal Sheet'!H10+'ESL Bal Sheet'!H10</f>
        <v>41423.589999999997</v>
      </c>
      <c r="I10" s="97">
        <f>+'CAC Bal Sheet'!I10+'AL Bal Sheet'!I10+'ESL Bal Sheet'!I10</f>
        <v>45367.39</v>
      </c>
      <c r="J10" s="97">
        <f>+'CAC Bal Sheet'!J10+'AL Bal Sheet'!J10+'ESL Bal Sheet'!J10</f>
        <v>44981.24</v>
      </c>
      <c r="K10" s="97">
        <f>+'CAC Bal Sheet'!K10+'AL Bal Sheet'!K10+'ESL Bal Sheet'!K10</f>
        <v>54838.02</v>
      </c>
      <c r="L10" s="37">
        <f>+'CAC Bal Sheet'!L10+'AL Bal Sheet'!L10+'ESL Bal Sheet'!L10</f>
        <v>41570</v>
      </c>
      <c r="M10" s="42">
        <f>IF($D$4=$H$5,H10-L10,IF($D$4=$I$5,I10-L10,IF($D$4=$J$5,J10-L10,K10-L10)))</f>
        <v>13268.019999999997</v>
      </c>
      <c r="N10" s="51">
        <f>IF($D$4=$H$5,H10-G10,IF($D$4=$I$5,I10-G10,IF($D$4=$J$5,J10-G10,K10-G10)))</f>
        <v>9863.6499999999942</v>
      </c>
      <c r="O10" s="15"/>
    </row>
    <row r="11" spans="1:15" x14ac:dyDescent="0.2">
      <c r="B11" t="s">
        <v>351</v>
      </c>
      <c r="F11" s="78"/>
      <c r="G11" s="37">
        <f>+'CAC Bal Sheet'!G11+'AL Bal Sheet'!G11+'ESL Bal Sheet'!G11</f>
        <v>60084.46</v>
      </c>
      <c r="H11" s="96">
        <f>+'CAC Bal Sheet'!H11+'AL Bal Sheet'!H11+'ESL Bal Sheet'!H11</f>
        <v>60088.95</v>
      </c>
      <c r="I11" s="97">
        <f>+'CAC Bal Sheet'!I11+'AL Bal Sheet'!I11+'ESL Bal Sheet'!I11</f>
        <v>60093.49</v>
      </c>
      <c r="J11" s="97">
        <f>+'CAC Bal Sheet'!J11+'AL Bal Sheet'!J11+'ESL Bal Sheet'!J11</f>
        <v>85099.13</v>
      </c>
      <c r="K11" s="97">
        <f>+'CAC Bal Sheet'!K11+'AL Bal Sheet'!K11+'ESL Bal Sheet'!K11</f>
        <v>82602.09</v>
      </c>
      <c r="L11" s="37">
        <f>+'CAC Bal Sheet'!L11+'AL Bal Sheet'!L11+'ESL Bal Sheet'!L11</f>
        <v>60100</v>
      </c>
      <c r="M11" s="42">
        <f>IF($D$4=$H$5,H11-L11,IF($D$4=$I$5,I11-L11,IF($D$4=$J$5,J11-L11,K11-L11)))</f>
        <v>22502.089999999997</v>
      </c>
      <c r="N11" s="51">
        <f>IF($D$4=$H$5,H11-G11,IF($D$4=$I$5,I11-G11,IF($D$4=$J$5,J11-G11,K11-G11)))</f>
        <v>22517.629999999997</v>
      </c>
    </row>
    <row r="12" spans="1:15" x14ac:dyDescent="0.2">
      <c r="B12" t="s">
        <v>84</v>
      </c>
      <c r="F12" s="78"/>
      <c r="G12" s="37">
        <f>+'CAC Bal Sheet'!G12+'AL Bal Sheet'!G12+'ESL Bal Sheet'!G12</f>
        <v>0</v>
      </c>
      <c r="H12" s="96">
        <f>+'CAC Bal Sheet'!H12+'AL Bal Sheet'!H12+'ESL Bal Sheet'!H12</f>
        <v>0</v>
      </c>
      <c r="I12" s="236">
        <f>+'CAC Bal Sheet'!I12+'AL Bal Sheet'!I12+'ESL Bal Sheet'!I12</f>
        <v>0</v>
      </c>
      <c r="J12" s="97">
        <f>+'CAC Bal Sheet'!J12+'AL Bal Sheet'!J12+'ESL Bal Sheet'!J12</f>
        <v>0</v>
      </c>
      <c r="K12" s="97">
        <f>+'CAC Bal Sheet'!K12+'AL Bal Sheet'!K12+'ESL Bal Sheet'!K12</f>
        <v>0</v>
      </c>
      <c r="L12" s="37">
        <f>+'CAC Bal Sheet'!L12+'AL Bal Sheet'!L12+'ESL Bal Sheet'!L12</f>
        <v>0</v>
      </c>
      <c r="M12" s="38">
        <f>IF($D$4=$H$5,H12-L12,IF($D$4=$I$5,I12-L12,IF($D$4=$J$5,J12-L12,K12-L12)))</f>
        <v>0</v>
      </c>
      <c r="N12" s="51">
        <f>IF($D$4=$H$5,H12-G12,IF($D$4=$I$5,I12-G12,IF($D$4=$J$5,J12-G12,K12-G12)))</f>
        <v>0</v>
      </c>
    </row>
    <row r="13" spans="1:15" x14ac:dyDescent="0.2">
      <c r="F13" s="78"/>
      <c r="G13" s="37"/>
      <c r="H13" s="96"/>
      <c r="I13" s="97"/>
      <c r="J13" s="97"/>
      <c r="K13" s="97"/>
      <c r="L13" s="37"/>
      <c r="M13" s="38"/>
      <c r="N13" s="51"/>
    </row>
    <row r="14" spans="1:15" x14ac:dyDescent="0.2">
      <c r="F14" s="78"/>
      <c r="G14" s="37"/>
      <c r="H14" s="96"/>
      <c r="I14" s="97"/>
      <c r="J14" s="97"/>
      <c r="K14" s="97"/>
      <c r="L14" s="37"/>
      <c r="M14" s="38"/>
      <c r="N14" s="51"/>
    </row>
    <row r="15" spans="1:15" x14ac:dyDescent="0.2">
      <c r="B15" s="1" t="s">
        <v>291</v>
      </c>
      <c r="F15" s="78"/>
      <c r="G15" s="54">
        <f>+'CAC Bal Sheet'!G15+'AL Bal Sheet'!G15+'ESL Bal Sheet'!G15</f>
        <v>105058.83</v>
      </c>
      <c r="H15" s="98">
        <f>+'CAC Bal Sheet'!H15+'AL Bal Sheet'!H15+'ESL Bal Sheet'!H15</f>
        <v>101512.54</v>
      </c>
      <c r="I15" s="99">
        <f>+'CAC Bal Sheet'!I15+'AL Bal Sheet'!I15+'ESL Bal Sheet'!I15</f>
        <v>105460.88</v>
      </c>
      <c r="J15" s="99">
        <f>+'CAC Bal Sheet'!J15+'AL Bal Sheet'!J15+'ESL Bal Sheet'!J15</f>
        <v>130080.37</v>
      </c>
      <c r="K15" s="99">
        <f>+'CAC Bal Sheet'!K15+'AL Bal Sheet'!K15+'ESL Bal Sheet'!K15</f>
        <v>137440.10999999999</v>
      </c>
      <c r="L15" s="54">
        <f>+'CAC Bal Sheet'!L15+'AL Bal Sheet'!L15+'ESL Bal Sheet'!L15</f>
        <v>101670</v>
      </c>
      <c r="M15" s="77">
        <f>IF($D$4=$H$5,H15-L15,IF($D$4=$I$5,I15-L15,IF($D$4=$J$5,J15-L15,K15-L15)))</f>
        <v>35770.109999999986</v>
      </c>
      <c r="N15" s="55">
        <f>IF($D$4=$H$5,H15-G15,IF($D$4=$I$5,I15-G15,IF($D$4=$J$5,J15-G15,K15-G15)))</f>
        <v>32381.279999999984</v>
      </c>
    </row>
    <row r="16" spans="1:15" outlineLevel="1" x14ac:dyDescent="0.2">
      <c r="F16" s="78"/>
      <c r="G16" s="37"/>
      <c r="H16" s="96"/>
      <c r="I16" s="97"/>
      <c r="J16" s="97"/>
      <c r="K16" s="97"/>
      <c r="L16" s="37"/>
      <c r="M16" s="38"/>
      <c r="N16" s="51"/>
    </row>
    <row r="17" spans="2:14" outlineLevel="1" x14ac:dyDescent="0.2">
      <c r="B17" t="s">
        <v>138</v>
      </c>
      <c r="F17" s="78">
        <v>1010</v>
      </c>
      <c r="G17" s="37">
        <f>+'CAC Bal Sheet'!G17+'AL Bal Sheet'!G17+'ESL Bal Sheet'!G17</f>
        <v>71886</v>
      </c>
      <c r="H17" s="96">
        <f>+'CAC Bal Sheet'!H17+'AL Bal Sheet'!H17+'ESL Bal Sheet'!H17</f>
        <v>77241</v>
      </c>
      <c r="I17" s="97">
        <f>+'CAC Bal Sheet'!I17+'AL Bal Sheet'!I17+'ESL Bal Sheet'!I17</f>
        <v>61702</v>
      </c>
      <c r="J17" s="97">
        <f>+'CAC Bal Sheet'!J17+'AL Bal Sheet'!J17+'ESL Bal Sheet'!J17</f>
        <v>59765</v>
      </c>
      <c r="K17" s="97">
        <f>+'CAC Bal Sheet'!K17+'AL Bal Sheet'!K17+'ESL Bal Sheet'!K17</f>
        <v>82881</v>
      </c>
      <c r="L17" s="37">
        <f>+'CAC Bal Sheet'!L17+'AL Bal Sheet'!L17+'ESL Bal Sheet'!L17</f>
        <v>59936</v>
      </c>
      <c r="M17" s="38" t="s">
        <v>452</v>
      </c>
      <c r="N17" s="51">
        <f>IF($D$4=$H$5,H17-G17,IF($D$4=$I$5,I17-G17,IF($D$4=$J$5,J17-G17,K17-G17)))</f>
        <v>10995</v>
      </c>
    </row>
    <row r="18" spans="2:14" outlineLevel="1" x14ac:dyDescent="0.2">
      <c r="B18" t="s">
        <v>239</v>
      </c>
      <c r="F18" s="78">
        <v>1070</v>
      </c>
      <c r="G18" s="37">
        <f>+'CAC Bal Sheet'!G18+'AL Bal Sheet'!G18+'ESL Bal Sheet'!G18</f>
        <v>0</v>
      </c>
      <c r="H18" s="96">
        <f>+'CAC Bal Sheet'!H18+'AL Bal Sheet'!H18+'ESL Bal Sheet'!H18</f>
        <v>0</v>
      </c>
      <c r="I18" s="97">
        <f>+'CAC Bal Sheet'!I18+'AL Bal Sheet'!I18+'ESL Bal Sheet'!I18</f>
        <v>0</v>
      </c>
      <c r="J18" s="97">
        <f>+'CAC Bal Sheet'!J18+'AL Bal Sheet'!J18+'ESL Bal Sheet'!J18</f>
        <v>0</v>
      </c>
      <c r="K18" s="97">
        <f>+'CAC Bal Sheet'!K18+'AL Bal Sheet'!K18+'ESL Bal Sheet'!K18</f>
        <v>0</v>
      </c>
      <c r="L18" s="37">
        <f>+'CAC Bal Sheet'!L18+'AL Bal Sheet'!L18+'ESL Bal Sheet'!L18</f>
        <v>0</v>
      </c>
      <c r="M18" s="38">
        <f>IF($D$4=$H$5,H18-L18,IF($D$4=$I$5,I18-L18,IF($D$4=$J$5,J18-L18,K18-L18)))</f>
        <v>0</v>
      </c>
      <c r="N18" s="51">
        <f>IF($D$4=$H$5,H18-G18,IF($D$4=$I$5,I18-G18,IF($D$4=$J$5,J18-G18,K18-G18)))</f>
        <v>0</v>
      </c>
    </row>
    <row r="19" spans="2:14" outlineLevel="1" x14ac:dyDescent="0.2">
      <c r="B19" t="s">
        <v>140</v>
      </c>
      <c r="F19" s="78"/>
      <c r="G19" s="37"/>
      <c r="H19" s="96"/>
      <c r="I19" s="97"/>
      <c r="J19" s="97"/>
      <c r="K19" s="97"/>
      <c r="L19" s="37"/>
      <c r="M19" s="38"/>
      <c r="N19" s="51"/>
    </row>
    <row r="20" spans="2:14" outlineLevel="1" x14ac:dyDescent="0.2">
      <c r="F20" s="78"/>
      <c r="G20" s="37"/>
      <c r="H20" s="96"/>
      <c r="I20" s="97"/>
      <c r="J20" s="97"/>
      <c r="K20" s="97"/>
      <c r="L20" s="37"/>
      <c r="M20" s="38"/>
      <c r="N20" s="51"/>
    </row>
    <row r="21" spans="2:14" outlineLevel="1" x14ac:dyDescent="0.2">
      <c r="F21" s="78"/>
      <c r="G21" s="41"/>
      <c r="H21" s="100"/>
      <c r="I21" s="101"/>
      <c r="J21" s="101"/>
      <c r="K21" s="97"/>
      <c r="L21" s="37"/>
      <c r="M21" s="38"/>
      <c r="N21" s="51"/>
    </row>
    <row r="22" spans="2:14" outlineLevel="1" x14ac:dyDescent="0.2">
      <c r="B22" s="1" t="s">
        <v>36</v>
      </c>
      <c r="F22" s="78"/>
      <c r="G22" s="54">
        <f>+'CAC Bal Sheet'!G22+'AL Bal Sheet'!G22+'ESL Bal Sheet'!G22</f>
        <v>71886</v>
      </c>
      <c r="H22" s="98">
        <f>+'CAC Bal Sheet'!H22+'AL Bal Sheet'!H22+'ESL Bal Sheet'!H22</f>
        <v>77241</v>
      </c>
      <c r="I22" s="99">
        <f>+'CAC Bal Sheet'!I22+'AL Bal Sheet'!I22+'ESL Bal Sheet'!I22</f>
        <v>61702</v>
      </c>
      <c r="J22" s="99">
        <f>+'CAC Bal Sheet'!J22+'AL Bal Sheet'!J22+'ESL Bal Sheet'!J22</f>
        <v>59765</v>
      </c>
      <c r="K22" s="99">
        <f>+'CAC Bal Sheet'!K22+'AL Bal Sheet'!K22+'ESL Bal Sheet'!K22</f>
        <v>82881</v>
      </c>
      <c r="L22" s="54">
        <f>+'CAC Bal Sheet'!L22+'AL Bal Sheet'!L22+'ESL Bal Sheet'!L22</f>
        <v>59936</v>
      </c>
      <c r="M22" s="52">
        <f>IF($D$4=$H$5,H22-L22,IF($D$4=$I$5,I22-L22,IF($D$4=$J$5,J22-L22,K22-L22)))</f>
        <v>22945</v>
      </c>
      <c r="N22" s="55">
        <f>IF($D$4=$H$5,H22-G22,IF($D$4=$I$5,I22-G22,IF($D$4=$J$5,J22-G22,K22-G22)))</f>
        <v>10995</v>
      </c>
    </row>
    <row r="23" spans="2:14" outlineLevel="1" x14ac:dyDescent="0.2">
      <c r="F23" s="78"/>
      <c r="G23" s="37"/>
      <c r="H23" s="96"/>
      <c r="I23" s="97"/>
      <c r="J23" s="97"/>
      <c r="K23" s="97"/>
      <c r="L23" s="37"/>
      <c r="M23" s="38"/>
      <c r="N23" s="51"/>
    </row>
    <row r="24" spans="2:14" outlineLevel="1" x14ac:dyDescent="0.2">
      <c r="B24" t="s">
        <v>141</v>
      </c>
      <c r="F24" s="78"/>
      <c r="G24" s="37">
        <f>+'CAC Bal Sheet'!G24+'AL Bal Sheet'!G24+'ESL Bal Sheet'!G24</f>
        <v>101947.5</v>
      </c>
      <c r="H24" s="96">
        <f>+'CAC Bal Sheet'!H24+'AL Bal Sheet'!H24+'ESL Bal Sheet'!H24</f>
        <v>112340</v>
      </c>
      <c r="I24" s="97">
        <f>+'CAC Bal Sheet'!I24+'AL Bal Sheet'!I24+'ESL Bal Sheet'!I24</f>
        <v>121480</v>
      </c>
      <c r="J24" s="97">
        <f>+'CAC Bal Sheet'!J24+'AL Bal Sheet'!J24+'ESL Bal Sheet'!J24</f>
        <v>119119</v>
      </c>
      <c r="K24" s="97">
        <f>+'CAC Bal Sheet'!K24+'AL Bal Sheet'!K24+'ESL Bal Sheet'!K24</f>
        <v>118224</v>
      </c>
      <c r="L24" s="37">
        <f>+'CAC Bal Sheet'!L24+'AL Bal Sheet'!L24+'ESL Bal Sheet'!L24</f>
        <v>102058</v>
      </c>
      <c r="M24" s="38">
        <f>IF($D$4=$H$5,H24-L24,IF($D$4=$I$5,I24-L24,IF($D$4=$J$5,J24-L24,K24-L24)))</f>
        <v>16166</v>
      </c>
      <c r="N24" s="51">
        <f>IF($D$4=$H$5,H24-G24,IF($D$4=$I$5,I24-G24,IF($D$4=$J$5,J24-G24,K24-G24)))</f>
        <v>16276.5</v>
      </c>
    </row>
    <row r="25" spans="2:14" outlineLevel="1" x14ac:dyDescent="0.2">
      <c r="B25" t="s">
        <v>142</v>
      </c>
      <c r="F25" s="78"/>
      <c r="G25" s="37">
        <f>+'CAC Bal Sheet'!G25+'AL Bal Sheet'!G25+'ESL Bal Sheet'!G25</f>
        <v>75903.05</v>
      </c>
      <c r="H25" s="96">
        <f>+'CAC Bal Sheet'!H25+'AL Bal Sheet'!H25+'ESL Bal Sheet'!H25</f>
        <v>75914</v>
      </c>
      <c r="I25" s="97">
        <f>+'CAC Bal Sheet'!I25+'AL Bal Sheet'!I25+'ESL Bal Sheet'!I25</f>
        <v>75938</v>
      </c>
      <c r="J25" s="97">
        <f>+'CAC Bal Sheet'!J25+'AL Bal Sheet'!J25+'ESL Bal Sheet'!J25</f>
        <v>75937</v>
      </c>
      <c r="K25" s="97">
        <f>+'CAC Bal Sheet'!K25+'AL Bal Sheet'!K25+'ESL Bal Sheet'!K25</f>
        <v>75948</v>
      </c>
      <c r="L25" s="37">
        <f>+'CAC Bal Sheet'!L25+'AL Bal Sheet'!L25+'ESL Bal Sheet'!L25</f>
        <v>75949</v>
      </c>
      <c r="M25" s="38">
        <f>IF($D$4=$H$5,H25-L25,IF($D$4=$I$5,I25-L25,IF($D$4=$J$5,J25-L25,K25-L25)))</f>
        <v>-1</v>
      </c>
      <c r="N25" s="51">
        <f>IF($D$4=$H$5,H25-G25,IF($D$4=$I$5,I25-G25,IF($D$4=$J$5,J25-G25,K25-G25)))</f>
        <v>44.94999999999709</v>
      </c>
    </row>
    <row r="26" spans="2:14" outlineLevel="1" x14ac:dyDescent="0.2">
      <c r="B26" t="s">
        <v>290</v>
      </c>
      <c r="F26" s="78"/>
      <c r="G26" s="37">
        <f>+'CAC Bal Sheet'!G26+'AL Bal Sheet'!G26+'ESL Bal Sheet'!G26</f>
        <v>0</v>
      </c>
      <c r="H26" s="96">
        <f>+'CAC Bal Sheet'!H26+'AL Bal Sheet'!H26+'ESL Bal Sheet'!H26</f>
        <v>0</v>
      </c>
      <c r="I26" s="97">
        <f>+'CAC Bal Sheet'!I26+'AL Bal Sheet'!I26+'ESL Bal Sheet'!I26</f>
        <v>0</v>
      </c>
      <c r="J26" s="97">
        <f>+'CAC Bal Sheet'!J26+'AL Bal Sheet'!J26+'ESL Bal Sheet'!J26</f>
        <v>0</v>
      </c>
      <c r="K26" s="97">
        <f>+'CAC Bal Sheet'!K26+'AL Bal Sheet'!K26+'ESL Bal Sheet'!K26</f>
        <v>0</v>
      </c>
      <c r="L26" s="37">
        <f>+'CAC Bal Sheet'!L26+'AL Bal Sheet'!L26+'ESL Bal Sheet'!L26</f>
        <v>0</v>
      </c>
      <c r="M26" s="38">
        <f>IF($D$4=$H$5,H26-L26,IF($D$4=$I$5,I26-L26,IF($D$4=$J$5,J26-L26,K26-L26)))</f>
        <v>0</v>
      </c>
      <c r="N26" s="51">
        <f>IF($D$4=$H$5,H26-G26,IF($D$4=$I$5,I26-G26,IF($D$4=$J$5,J26-G26,K26-G26)))</f>
        <v>0</v>
      </c>
    </row>
    <row r="27" spans="2:14" outlineLevel="1" x14ac:dyDescent="0.2">
      <c r="F27" s="78"/>
      <c r="G27" s="37">
        <f>+'CAC Bal Sheet'!G27+'AL Bal Sheet'!G27+'ESL Bal Sheet'!G27</f>
        <v>0</v>
      </c>
      <c r="H27" s="96">
        <f>+'CAC Bal Sheet'!H27+'AL Bal Sheet'!H27+'ESL Bal Sheet'!H27</f>
        <v>0</v>
      </c>
      <c r="I27" s="97">
        <f>+'CAC Bal Sheet'!I27+'AL Bal Sheet'!I27+'ESL Bal Sheet'!I27</f>
        <v>0</v>
      </c>
      <c r="J27" s="97">
        <f>+'CAC Bal Sheet'!J27+'AL Bal Sheet'!J27+'ESL Bal Sheet'!J27</f>
        <v>0</v>
      </c>
      <c r="K27" s="97">
        <f>+'CAC Bal Sheet'!K27+'AL Bal Sheet'!K27+'ESL Bal Sheet'!K27</f>
        <v>0</v>
      </c>
      <c r="L27" s="37">
        <f>+'CAC Bal Sheet'!L27+'AL Bal Sheet'!L27+'ESL Bal Sheet'!L27</f>
        <v>0</v>
      </c>
      <c r="M27" s="38">
        <f>IF($D$4=$H$5,H27-L27,IF($D$4=$I$5,I27-L27,IF($D$4=$J$5,J27-L27,K27-L27)))</f>
        <v>0</v>
      </c>
      <c r="N27" s="51">
        <f>IF($D$4=$H$5,H27-G27,IF($D$4=$I$5,I27-G27,IF($D$4=$J$5,J27-G27,K27-G27)))</f>
        <v>0</v>
      </c>
    </row>
    <row r="28" spans="2:14" outlineLevel="1" x14ac:dyDescent="0.2">
      <c r="F28" s="78"/>
      <c r="G28" s="37"/>
      <c r="H28" s="96"/>
      <c r="I28" s="97"/>
      <c r="J28" s="97"/>
      <c r="K28" s="97"/>
      <c r="L28" s="37"/>
      <c r="M28" s="38"/>
      <c r="N28" s="51"/>
    </row>
    <row r="29" spans="2:14" outlineLevel="1" x14ac:dyDescent="0.2">
      <c r="B29" s="1" t="s">
        <v>37</v>
      </c>
      <c r="F29" s="78"/>
      <c r="G29" s="54">
        <f>+'CAC Bal Sheet'!G29+'AL Bal Sheet'!G29+'ESL Bal Sheet'!G29</f>
        <v>177850.55</v>
      </c>
      <c r="H29" s="98">
        <f>+'CAC Bal Sheet'!H29+'AL Bal Sheet'!H29+'ESL Bal Sheet'!H29</f>
        <v>188254</v>
      </c>
      <c r="I29" s="99">
        <f>+'CAC Bal Sheet'!I29+'AL Bal Sheet'!I29+'ESL Bal Sheet'!I29</f>
        <v>197418</v>
      </c>
      <c r="J29" s="99">
        <f>+'CAC Bal Sheet'!J29+'AL Bal Sheet'!J29+'ESL Bal Sheet'!J29</f>
        <v>195056</v>
      </c>
      <c r="K29" s="99">
        <f>+'CAC Bal Sheet'!K29+'AL Bal Sheet'!K29+'ESL Bal Sheet'!K29</f>
        <v>194172</v>
      </c>
      <c r="L29" s="54">
        <f>+'CAC Bal Sheet'!L29+'AL Bal Sheet'!L29+'ESL Bal Sheet'!L29</f>
        <v>178007</v>
      </c>
      <c r="M29" s="52">
        <f>IF($D$4=$H$5,H29-L29,IF($D$4=$I$5,I29-L29,IF($D$4=$J$5,J29-L29,K29-L29)))</f>
        <v>16165</v>
      </c>
      <c r="N29" s="55">
        <f>IF($D$4=$H$5,H29-G29,IF($D$4=$I$5,I29-G29,IF($D$4=$J$5,J29-G29,K29-G29)))</f>
        <v>16321.450000000012</v>
      </c>
    </row>
    <row r="30" spans="2:14" outlineLevel="1" x14ac:dyDescent="0.2">
      <c r="F30" s="78"/>
      <c r="G30" s="37"/>
      <c r="H30" s="96"/>
      <c r="I30" s="97"/>
      <c r="J30" s="97"/>
      <c r="K30" s="97"/>
      <c r="L30" s="37"/>
      <c r="M30" s="38"/>
      <c r="N30" s="51"/>
    </row>
    <row r="31" spans="2:14" outlineLevel="1" x14ac:dyDescent="0.2">
      <c r="B31" s="1" t="s">
        <v>145</v>
      </c>
      <c r="F31" s="78"/>
      <c r="G31" s="39">
        <f>+'CAC Bal Sheet'!G31+'AL Bal Sheet'!G31+'ESL Bal Sheet'!G31</f>
        <v>354795.38</v>
      </c>
      <c r="H31" s="102">
        <f>+'CAC Bal Sheet'!H31+'AL Bal Sheet'!H31+'ESL Bal Sheet'!H31</f>
        <v>367007.54</v>
      </c>
      <c r="I31" s="103">
        <f>+'CAC Bal Sheet'!I31+'AL Bal Sheet'!I31+'ESL Bal Sheet'!I31</f>
        <v>364580.88</v>
      </c>
      <c r="J31" s="103">
        <f>+'CAC Bal Sheet'!J31+'AL Bal Sheet'!J31+'ESL Bal Sheet'!J31</f>
        <v>384901.37</v>
      </c>
      <c r="K31" s="232">
        <f>+'CAC Bal Sheet'!K31+'AL Bal Sheet'!K31+'ESL Bal Sheet'!K31</f>
        <v>414493.11</v>
      </c>
      <c r="L31" s="39">
        <f>+'CAC Bal Sheet'!L31+'AL Bal Sheet'!L31+'ESL Bal Sheet'!L31</f>
        <v>339613</v>
      </c>
      <c r="M31" s="40">
        <f>IF($D$4=$H$5,H31-L31,IF($D$4=$I$5,I31-L31,IF($D$4=$J$5,J31-L31,K31-L31)))</f>
        <v>74880.109999999986</v>
      </c>
      <c r="N31" s="56">
        <f>IF($D$4=$H$5,H31-G31,IF($D$4=$I$5,I31-G31,IF($D$4=$J$5,J31-G31,K31-G31)))</f>
        <v>59697.729999999981</v>
      </c>
    </row>
    <row r="32" spans="2:14" x14ac:dyDescent="0.2">
      <c r="F32" s="78"/>
      <c r="G32" s="37"/>
      <c r="H32" s="96"/>
      <c r="I32" s="97"/>
      <c r="J32" s="97"/>
      <c r="K32" s="97"/>
      <c r="L32" s="37"/>
      <c r="M32" s="38"/>
      <c r="N32" s="51"/>
    </row>
    <row r="33" spans="1:16" x14ac:dyDescent="0.2">
      <c r="A33" s="1" t="s">
        <v>148</v>
      </c>
      <c r="F33" s="78"/>
      <c r="G33" s="41"/>
      <c r="H33" s="100"/>
      <c r="I33" s="101"/>
      <c r="J33" s="101"/>
      <c r="K33" s="101"/>
      <c r="L33" s="41"/>
      <c r="M33" s="42"/>
      <c r="N33" s="57"/>
    </row>
    <row r="34" spans="1:16" x14ac:dyDescent="0.2">
      <c r="B34" t="s">
        <v>147</v>
      </c>
      <c r="F34" s="78"/>
      <c r="G34" s="41">
        <f>+'CAC Bal Sheet'!G34+'AL Bal Sheet'!G34+'ESL Bal Sheet'!G34</f>
        <v>118969.96</v>
      </c>
      <c r="H34" s="100">
        <f>+'CAC Bal Sheet'!H34+'AL Bal Sheet'!H34+'ESL Bal Sheet'!H34</f>
        <v>119161.54</v>
      </c>
      <c r="I34" s="101">
        <f>+'CAC Bal Sheet'!I34+'AL Bal Sheet'!I34+'ESL Bal Sheet'!I34</f>
        <v>118969.96</v>
      </c>
      <c r="J34" s="101">
        <f>+'CAC Bal Sheet'!J34+'AL Bal Sheet'!J34+'ESL Bal Sheet'!J34</f>
        <v>117373.43</v>
      </c>
      <c r="K34" s="101">
        <f>+'CAC Bal Sheet'!K34+'AL Bal Sheet'!K34+'ESL Bal Sheet'!K34</f>
        <v>117117.98</v>
      </c>
      <c r="L34" s="41">
        <f>+'CAC Bal Sheet'!L34+'AL Bal Sheet'!L34+'ESL Bal Sheet'!L34</f>
        <v>120000</v>
      </c>
      <c r="M34" s="42">
        <f>IF($D$4=$H$5,H34-L34,IF($D$4=$I$5,I34-L34,IF($D$4=$J$5,J34-L34,K34-L34)))</f>
        <v>-2882.0200000000041</v>
      </c>
      <c r="N34" s="57">
        <f>IF($D$4=$H$5,H34-G34,IF($D$4=$I$5,I34-G34,IF($D$4=$J$5,J34-G34,K34-G34)))</f>
        <v>-1851.9800000000105</v>
      </c>
    </row>
    <row r="35" spans="1:16" x14ac:dyDescent="0.2">
      <c r="F35" s="78"/>
      <c r="G35" s="41"/>
      <c r="H35" s="100"/>
      <c r="I35" s="101"/>
      <c r="J35" s="101"/>
      <c r="K35" s="101"/>
      <c r="L35" s="41"/>
      <c r="M35" s="42"/>
      <c r="N35" s="57"/>
    </row>
    <row r="36" spans="1:16" x14ac:dyDescent="0.2">
      <c r="F36" s="78"/>
      <c r="G36" s="37"/>
      <c r="H36" s="96"/>
      <c r="I36" s="97"/>
      <c r="J36" s="97"/>
      <c r="K36" s="97"/>
      <c r="L36" s="37"/>
      <c r="M36" s="38"/>
      <c r="N36" s="51"/>
    </row>
    <row r="37" spans="1:16" x14ac:dyDescent="0.2">
      <c r="B37" s="1" t="s">
        <v>149</v>
      </c>
      <c r="F37" s="78"/>
      <c r="G37" s="54">
        <f>+'CAC Bal Sheet'!G37+'AL Bal Sheet'!G37+'ESL Bal Sheet'!G37</f>
        <v>118969.96</v>
      </c>
      <c r="H37" s="98">
        <f>+'CAC Bal Sheet'!H37+'AL Bal Sheet'!H37+'ESL Bal Sheet'!H37</f>
        <v>119161.54</v>
      </c>
      <c r="I37" s="99">
        <f>+'CAC Bal Sheet'!I37+'AL Bal Sheet'!I37+'ESL Bal Sheet'!I37</f>
        <v>118969.96</v>
      </c>
      <c r="J37" s="99">
        <f>+'CAC Bal Sheet'!J37+'AL Bal Sheet'!J37+'ESL Bal Sheet'!J37</f>
        <v>117373.43</v>
      </c>
      <c r="K37" s="99">
        <f>+'CAC Bal Sheet'!K37+'AL Bal Sheet'!K37+'ESL Bal Sheet'!K37</f>
        <v>117117.98</v>
      </c>
      <c r="L37" s="54">
        <f>+'CAC Bal Sheet'!L37+'AL Bal Sheet'!L37+'ESL Bal Sheet'!L37</f>
        <v>120000</v>
      </c>
      <c r="M37" s="53">
        <f>IF($D$4=$H$5,H37-L37,IF($D$4=$I$5,I37-L37,IF($D$4=$J$5,J37-L37,K37-L37)))</f>
        <v>-2882.0200000000041</v>
      </c>
      <c r="N37" s="55">
        <f>IF($D$4=$H$5,H37-G37,IF($D$4=$I$5,I37-G37,IF($D$4=$J$5,J37-G37,K37-G37)))</f>
        <v>-1851.9800000000105</v>
      </c>
    </row>
    <row r="38" spans="1:16" x14ac:dyDescent="0.2">
      <c r="F38" s="78"/>
      <c r="G38" s="37"/>
      <c r="H38" s="96"/>
      <c r="I38" s="97"/>
      <c r="J38" s="97"/>
      <c r="K38" s="97"/>
      <c r="L38" s="37"/>
      <c r="M38" s="38"/>
      <c r="N38" s="51"/>
    </row>
    <row r="39" spans="1:16" hidden="1" outlineLevel="1" x14ac:dyDescent="0.2">
      <c r="A39" s="1" t="s">
        <v>150</v>
      </c>
      <c r="B39" s="1"/>
      <c r="F39" s="78"/>
      <c r="G39" s="37"/>
      <c r="H39" s="96"/>
      <c r="I39" s="97"/>
      <c r="J39" s="97"/>
      <c r="K39" s="97"/>
      <c r="L39" s="37"/>
      <c r="M39" s="38"/>
      <c r="N39" s="51"/>
    </row>
    <row r="40" spans="1:16" hidden="1" outlineLevel="1" x14ac:dyDescent="0.2">
      <c r="B40" t="s">
        <v>151</v>
      </c>
      <c r="F40" s="78"/>
      <c r="G40" s="37">
        <f>+'CAC Bal Sheet'!G40+'AL Bal Sheet'!G40+'ESL Bal Sheet'!G40</f>
        <v>0</v>
      </c>
      <c r="H40" s="96">
        <f>+'CAC Bal Sheet'!H40+'AL Bal Sheet'!H40+'ESL Bal Sheet'!H40</f>
        <v>0</v>
      </c>
      <c r="I40" s="97" t="e">
        <f>+'CAC Bal Sheet'!#REF!+'AL Bal Sheet'!I40+'ESL Bal Sheet'!I40</f>
        <v>#REF!</v>
      </c>
      <c r="J40" s="97">
        <f>+'CAC Bal Sheet'!J40+'AL Bal Sheet'!J40+'ESL Bal Sheet'!J40</f>
        <v>0</v>
      </c>
      <c r="K40" s="97">
        <f>+'CAC Bal Sheet'!K40+'AL Bal Sheet'!K40+'ESL Bal Sheet'!K40</f>
        <v>0</v>
      </c>
      <c r="L40" s="37">
        <f>+'CAC Bal Sheet'!L40+'AL Bal Sheet'!L40+'ESL Bal Sheet'!L40</f>
        <v>0</v>
      </c>
      <c r="M40" s="38"/>
      <c r="N40" s="51"/>
    </row>
    <row r="41" spans="1:16" hidden="1" outlineLevel="1" x14ac:dyDescent="0.2">
      <c r="B41" t="s">
        <v>35</v>
      </c>
      <c r="F41" s="78"/>
      <c r="G41" s="37">
        <f>+'CAC Bal Sheet'!G41+'AL Bal Sheet'!G41+'ESL Bal Sheet'!G41</f>
        <v>0</v>
      </c>
      <c r="H41" s="96">
        <f>+'CAC Bal Sheet'!H41+'AL Bal Sheet'!H41+'ESL Bal Sheet'!H41</f>
        <v>0</v>
      </c>
      <c r="I41" s="97">
        <f>+'CAC Bal Sheet'!I41+'AL Bal Sheet'!I41+'ESL Bal Sheet'!I41</f>
        <v>0</v>
      </c>
      <c r="J41" s="97">
        <f>+'CAC Bal Sheet'!J41+'AL Bal Sheet'!J41+'ESL Bal Sheet'!J41</f>
        <v>0</v>
      </c>
      <c r="K41" s="97">
        <f>+'CAC Bal Sheet'!K41+'AL Bal Sheet'!K41+'ESL Bal Sheet'!K41</f>
        <v>0</v>
      </c>
      <c r="L41" s="37">
        <f>+'CAC Bal Sheet'!L41+'AL Bal Sheet'!L41+'ESL Bal Sheet'!L41</f>
        <v>0</v>
      </c>
      <c r="M41" s="38"/>
      <c r="N41" s="51"/>
    </row>
    <row r="42" spans="1:16" hidden="1" outlineLevel="1" x14ac:dyDescent="0.2">
      <c r="F42" s="78"/>
      <c r="G42" s="37"/>
      <c r="H42" s="96"/>
      <c r="I42" s="97"/>
      <c r="J42" s="97"/>
      <c r="K42" s="97"/>
      <c r="L42" s="37"/>
      <c r="M42" s="38"/>
      <c r="N42" s="51"/>
    </row>
    <row r="43" spans="1:16" collapsed="1" x14ac:dyDescent="0.2">
      <c r="B43" s="1" t="s">
        <v>25</v>
      </c>
      <c r="F43" s="78"/>
      <c r="G43" s="54">
        <f>+'CAC Bal Sheet'!G43+'AL Bal Sheet'!G43+'ESL Bal Sheet'!G43</f>
        <v>0</v>
      </c>
      <c r="H43" s="98">
        <f>+'CAC Bal Sheet'!H43+'AL Bal Sheet'!H43+'ESL Bal Sheet'!H43</f>
        <v>0</v>
      </c>
      <c r="I43" s="99">
        <f>+'CAC Bal Sheet'!I43+'AL Bal Sheet'!I43+'ESL Bal Sheet'!I43</f>
        <v>0</v>
      </c>
      <c r="J43" s="99">
        <f>+'CAC Bal Sheet'!J43+'AL Bal Sheet'!J43+'ESL Bal Sheet'!J43</f>
        <v>0</v>
      </c>
      <c r="K43" s="99">
        <f>+'CAC Bal Sheet'!K43+'AL Bal Sheet'!K43+'ESL Bal Sheet'!K43</f>
        <v>0</v>
      </c>
      <c r="L43" s="54">
        <f>+'CAC Bal Sheet'!L43+'AL Bal Sheet'!L43+'ESL Bal Sheet'!L43</f>
        <v>0</v>
      </c>
      <c r="M43" s="52">
        <f>IF($D$4=$H$5,H43-L43,IF($D$4=$I$5,I43-L43,IF($D$4=$J$5,J43-L43,K43-L43)))</f>
        <v>0</v>
      </c>
      <c r="N43" s="55">
        <f>IF($D$4=$H$5,H43-G43,IF($D$4=$I$5,I43-G43,IF($D$4=$J$5,J43-G43,K43-G43)))</f>
        <v>0</v>
      </c>
    </row>
    <row r="44" spans="1:16" x14ac:dyDescent="0.2">
      <c r="F44" s="78"/>
      <c r="G44" s="37"/>
      <c r="H44" s="96"/>
      <c r="I44" s="97"/>
      <c r="J44" s="97"/>
      <c r="K44" s="97"/>
      <c r="L44" s="37"/>
      <c r="M44" s="38"/>
      <c r="N44" s="51"/>
    </row>
    <row r="45" spans="1:16" ht="13.2" thickBot="1" x14ac:dyDescent="0.25">
      <c r="A45" s="1" t="s">
        <v>38</v>
      </c>
      <c r="F45" s="78"/>
      <c r="G45" s="43">
        <f>+'CAC Bal Sheet'!G45+'AL Bal Sheet'!G45+'ESL Bal Sheet'!G45</f>
        <v>473765.33999999997</v>
      </c>
      <c r="H45" s="104">
        <f>+'CAC Bal Sheet'!H45+'AL Bal Sheet'!H45+'ESL Bal Sheet'!H45</f>
        <v>486169.07999999996</v>
      </c>
      <c r="I45" s="105">
        <f>+'CAC Bal Sheet'!I45+'AL Bal Sheet'!I45+'ESL Bal Sheet'!I45</f>
        <v>483550.84</v>
      </c>
      <c r="J45" s="105">
        <f>+'CAC Bal Sheet'!J45+'AL Bal Sheet'!J45+'ESL Bal Sheet'!J45</f>
        <v>502274.8</v>
      </c>
      <c r="K45" s="233">
        <f>+'CAC Bal Sheet'!K45+'AL Bal Sheet'!K45+'ESL Bal Sheet'!K45</f>
        <v>531611.09</v>
      </c>
      <c r="L45" s="43">
        <f>+'CAC Bal Sheet'!L45+'AL Bal Sheet'!L45+'ESL Bal Sheet'!L45</f>
        <v>459613</v>
      </c>
      <c r="M45" s="45">
        <f>IF($D$4=$H$5,H45-L45,IF($D$4=$I$5,I45-L45,IF($D$4=$J$5,J45-L45,K45-L45)))</f>
        <v>71998.089999999967</v>
      </c>
      <c r="N45" s="58">
        <f>IF($D$4=$H$5,H45-G45,IF($D$4=$I$5,I45-G45,IF($D$4=$J$5,J45-G45,K45-G45)))</f>
        <v>57845.75</v>
      </c>
    </row>
    <row r="46" spans="1:16" ht="13.2" thickTop="1" x14ac:dyDescent="0.2">
      <c r="F46" s="78"/>
      <c r="G46" s="37"/>
      <c r="H46" s="96"/>
      <c r="I46" s="97"/>
      <c r="J46" s="97"/>
      <c r="K46" s="97"/>
      <c r="L46" s="37"/>
      <c r="M46" s="38"/>
      <c r="N46" s="51"/>
    </row>
    <row r="47" spans="1:16" x14ac:dyDescent="0.2">
      <c r="A47" s="1" t="s">
        <v>42</v>
      </c>
      <c r="F47" s="78"/>
      <c r="G47" s="37"/>
      <c r="H47" s="96"/>
      <c r="I47" s="97"/>
      <c r="J47" s="97"/>
      <c r="K47" s="97"/>
      <c r="L47" s="37"/>
      <c r="M47" s="38"/>
      <c r="N47" s="51"/>
      <c r="P47" s="15"/>
    </row>
    <row r="48" spans="1:16" x14ac:dyDescent="0.2">
      <c r="B48" t="s">
        <v>39</v>
      </c>
      <c r="F48" s="78">
        <v>2020</v>
      </c>
      <c r="G48" s="37">
        <f>+'CAC Bal Sheet'!G48+'AL Bal Sheet'!G48+'ESL Bal Sheet'!G48</f>
        <v>2110</v>
      </c>
      <c r="H48" s="96">
        <f>+'CAC Bal Sheet'!H48+'AL Bal Sheet'!H48+'ESL Bal Sheet'!H48</f>
        <v>2615</v>
      </c>
      <c r="I48" s="97">
        <f>+'CAC Bal Sheet'!I48+'AL Bal Sheet'!I48+'ESL Bal Sheet'!I48</f>
        <v>70.83</v>
      </c>
      <c r="J48" s="97">
        <f>+'CAC Bal Sheet'!J48+'AL Bal Sheet'!J48+'ESL Bal Sheet'!J48</f>
        <v>70.83</v>
      </c>
      <c r="K48" s="97">
        <f>+'CAC Bal Sheet'!K48+'AL Bal Sheet'!K48+'ESL Bal Sheet'!K48</f>
        <v>2115.83</v>
      </c>
      <c r="L48" s="37">
        <f>+'CAC Bal Sheet'!L48+'AL Bal Sheet'!L48+'ESL Bal Sheet'!L48</f>
        <v>1000</v>
      </c>
      <c r="M48" s="38"/>
      <c r="N48" s="51"/>
    </row>
    <row r="49" spans="1:14" x14ac:dyDescent="0.2">
      <c r="B49" t="s">
        <v>40</v>
      </c>
      <c r="F49" s="78">
        <v>2010</v>
      </c>
      <c r="G49" s="37">
        <f>+'CAC Bal Sheet'!G49+'AL Bal Sheet'!G49+'ESL Bal Sheet'!G49</f>
        <v>404</v>
      </c>
      <c r="H49" s="96">
        <f>+'CAC Bal Sheet'!H49+'AL Bal Sheet'!H49+'ESL Bal Sheet'!H49</f>
        <v>238</v>
      </c>
      <c r="I49" s="97">
        <f>+'CAC Bal Sheet'!I49+'AL Bal Sheet'!I49+'ESL Bal Sheet'!I49</f>
        <v>822</v>
      </c>
      <c r="J49" s="97">
        <f>+'CAC Bal Sheet'!J49+'AL Bal Sheet'!J49+'ESL Bal Sheet'!J49</f>
        <v>56</v>
      </c>
      <c r="K49" s="97">
        <f>+'CAC Bal Sheet'!K49+'AL Bal Sheet'!K49+'ESL Bal Sheet'!K49</f>
        <v>0</v>
      </c>
      <c r="L49" s="37">
        <f>+'CAC Bal Sheet'!L49+'AL Bal Sheet'!L49+'ESL Bal Sheet'!L49</f>
        <v>500</v>
      </c>
      <c r="M49" s="38"/>
      <c r="N49" s="51"/>
    </row>
    <row r="50" spans="1:14" x14ac:dyDescent="0.2">
      <c r="B50" t="s">
        <v>41</v>
      </c>
      <c r="F50" s="78">
        <v>3111</v>
      </c>
      <c r="G50" s="37">
        <f>+'CAC Bal Sheet'!G50+'AL Bal Sheet'!G50+'ESL Bal Sheet'!G50</f>
        <v>9542.5</v>
      </c>
      <c r="H50" s="96">
        <f>+'CAC Bal Sheet'!H50+'AL Bal Sheet'!H50+'ESL Bal Sheet'!H50</f>
        <v>7920</v>
      </c>
      <c r="I50" s="101">
        <f>+'CAC Bal Sheet'!I50+'AL Bal Sheet'!I50+'ESL Bal Sheet'!I50</f>
        <v>7785</v>
      </c>
      <c r="J50" s="97">
        <f>+'CAC Bal Sheet'!J50+'AL Bal Sheet'!J50+'ESL Bal Sheet'!J50</f>
        <v>6035</v>
      </c>
      <c r="K50" s="97">
        <f>+'CAC Bal Sheet'!K50+'AL Bal Sheet'!K50+'ESL Bal Sheet'!K50</f>
        <v>6225</v>
      </c>
      <c r="L50" s="37">
        <f>+'CAC Bal Sheet'!L50+'AL Bal Sheet'!L50+'ESL Bal Sheet'!L50</f>
        <v>5954</v>
      </c>
      <c r="M50" s="38"/>
      <c r="N50" s="51"/>
    </row>
    <row r="51" spans="1:14" x14ac:dyDescent="0.2">
      <c r="B51" t="s">
        <v>214</v>
      </c>
      <c r="F51" s="78">
        <v>2040</v>
      </c>
      <c r="G51" s="37">
        <f>+'CAC Bal Sheet'!G51+'AL Bal Sheet'!G51+'ESL Bal Sheet'!G51</f>
        <v>0</v>
      </c>
      <c r="H51" s="96">
        <f>+'CAC Bal Sheet'!H51+'AL Bal Sheet'!H51+'ESL Bal Sheet'!H51</f>
        <v>0</v>
      </c>
      <c r="I51" s="97">
        <f>+'CAC Bal Sheet'!I40+'AL Bal Sheet'!I51+'ESL Bal Sheet'!I51</f>
        <v>0</v>
      </c>
      <c r="J51" s="97">
        <f>+'CAC Bal Sheet'!J51+'AL Bal Sheet'!J51+'ESL Bal Sheet'!J51</f>
        <v>0</v>
      </c>
      <c r="K51" s="97">
        <f>+'CAC Bal Sheet'!K51+'AL Bal Sheet'!K51+'ESL Bal Sheet'!K51</f>
        <v>0</v>
      </c>
      <c r="L51" s="37">
        <f>+'CAC Bal Sheet'!L51+'AL Bal Sheet'!L51+'ESL Bal Sheet'!L51</f>
        <v>0</v>
      </c>
      <c r="M51" s="38"/>
      <c r="N51" s="51"/>
    </row>
    <row r="52" spans="1:14" x14ac:dyDescent="0.2">
      <c r="B52" t="s">
        <v>76</v>
      </c>
      <c r="F52" s="78"/>
      <c r="G52" s="37">
        <f>+'CAC Bal Sheet'!G52+'AL Bal Sheet'!G52+'ESL Bal Sheet'!G52</f>
        <v>0</v>
      </c>
      <c r="H52" s="96">
        <f>+'CAC Bal Sheet'!H52+'AL Bal Sheet'!H52+'ESL Bal Sheet'!H52</f>
        <v>0</v>
      </c>
      <c r="I52" s="97">
        <f>+'CAC Bal Sheet'!I41+'AL Bal Sheet'!I52+'ESL Bal Sheet'!I52</f>
        <v>0</v>
      </c>
      <c r="J52" s="97">
        <f>+'CAC Bal Sheet'!J52+'AL Bal Sheet'!J52+'ESL Bal Sheet'!J52</f>
        <v>0</v>
      </c>
      <c r="K52" s="97">
        <f>+'CAC Bal Sheet'!K52+'AL Bal Sheet'!K52+'ESL Bal Sheet'!K52</f>
        <v>0</v>
      </c>
      <c r="L52" s="37">
        <f>+'CAC Bal Sheet'!L52+'AL Bal Sheet'!L52+'ESL Bal Sheet'!L52</f>
        <v>0</v>
      </c>
      <c r="M52" s="38"/>
      <c r="N52" s="51"/>
    </row>
    <row r="53" spans="1:14" x14ac:dyDescent="0.2">
      <c r="F53" s="78"/>
      <c r="G53" s="37"/>
      <c r="H53" s="96"/>
      <c r="I53" s="97"/>
      <c r="J53" s="97"/>
      <c r="K53" s="97"/>
      <c r="L53" s="37"/>
      <c r="M53" s="38"/>
      <c r="N53" s="51"/>
    </row>
    <row r="54" spans="1:14" x14ac:dyDescent="0.2">
      <c r="F54" s="78"/>
      <c r="G54" s="37"/>
      <c r="H54" s="96"/>
      <c r="I54" s="97"/>
      <c r="J54" s="97"/>
      <c r="K54" s="97"/>
      <c r="L54" s="37"/>
      <c r="M54" s="38"/>
      <c r="N54" s="51"/>
    </row>
    <row r="55" spans="1:14" x14ac:dyDescent="0.2">
      <c r="B55" s="1" t="s">
        <v>43</v>
      </c>
      <c r="F55" s="78"/>
      <c r="G55" s="54">
        <f>+'CAC Bal Sheet'!G55+'AL Bal Sheet'!G50+'ESL Bal Sheet'!G55</f>
        <v>12056.5</v>
      </c>
      <c r="H55" s="98">
        <f>+'CAC Bal Sheet'!H55+'AL Bal Sheet'!H55+'ESL Bal Sheet'!H55</f>
        <v>10773</v>
      </c>
      <c r="I55" s="99">
        <f>+'CAC Bal Sheet'!I55+'AL Bal Sheet'!I55+'ESL Bal Sheet'!I55</f>
        <v>8677.83</v>
      </c>
      <c r="J55" s="99">
        <f>+'CAC Bal Sheet'!J55+'AL Bal Sheet'!J55+'ESL Bal Sheet'!J55</f>
        <v>6161.83</v>
      </c>
      <c r="K55" s="99">
        <f>+'CAC Bal Sheet'!K55+'AL Bal Sheet'!K55+'ESL Bal Sheet'!K55</f>
        <v>8340.83</v>
      </c>
      <c r="L55" s="54">
        <f>+'CAC Bal Sheet'!L55+'AL Bal Sheet'!L55+'ESL Bal Sheet'!L55</f>
        <v>7454</v>
      </c>
      <c r="M55" s="53">
        <f>IF($D$4=$H$5,H55-L55,IF($D$4=$I$5,I55-L55,IF($D$4=$J$5,J55-L55,K55-L55)))</f>
        <v>886.82999999999993</v>
      </c>
      <c r="N55" s="55">
        <f>IF($D$4=$H$5,H55-G55,IF($D$4=$I$5,I55-G55,IF($D$4=$J$5,J55-G55,K55-G55)))</f>
        <v>-3715.67</v>
      </c>
    </row>
    <row r="56" spans="1:14" x14ac:dyDescent="0.2">
      <c r="F56" s="78"/>
      <c r="G56" s="37"/>
      <c r="H56" s="96"/>
      <c r="I56" s="97"/>
      <c r="J56" s="97"/>
      <c r="K56" s="97"/>
      <c r="L56" s="37"/>
      <c r="M56" s="38"/>
      <c r="N56" s="51"/>
    </row>
    <row r="57" spans="1:14" x14ac:dyDescent="0.2">
      <c r="A57" s="1" t="s">
        <v>44</v>
      </c>
      <c r="F57" s="78"/>
      <c r="G57" s="37"/>
      <c r="H57" s="96"/>
      <c r="I57" s="97"/>
      <c r="J57" s="97"/>
      <c r="K57" s="97"/>
      <c r="L57" s="37"/>
      <c r="M57" s="38"/>
      <c r="N57" s="51"/>
    </row>
    <row r="58" spans="1:14" ht="13.2" x14ac:dyDescent="0.25">
      <c r="B58" s="60" t="s">
        <v>416</v>
      </c>
      <c r="F58" s="78" t="s">
        <v>77</v>
      </c>
      <c r="G58" s="37">
        <f>+'CAC Bal Sheet'!G58+'AL Bal Sheet'!G58+'ESL Bal Sheet'!G58</f>
        <v>207962.45300000001</v>
      </c>
      <c r="H58" s="96">
        <f>+'CAC Bal Sheet'!H58+'AL Bal Sheet'!H58+'ESL Bal Sheet'!H58</f>
        <v>207966.95</v>
      </c>
      <c r="I58" s="97">
        <f>+'CAC Bal Sheet'!I58+'AL Bal Sheet'!I58+'ESL Bal Sheet'!I58</f>
        <v>207971.49</v>
      </c>
      <c r="J58" s="97">
        <f>+'CAC Bal Sheet'!J58+'AL Bal Sheet'!J58+'ESL Bal Sheet'!J58</f>
        <v>232977.13</v>
      </c>
      <c r="K58" s="97">
        <f>+'CAC Bal Sheet'!K58+'AL Bal Sheet'!K58+'ESL Bal Sheet'!K58</f>
        <v>233102.09000000003</v>
      </c>
      <c r="L58" s="37">
        <f>+'CAC Bal Sheet'!L58+'AL Bal Sheet'!L58+'ESL Bal Sheet'!L58</f>
        <v>210500</v>
      </c>
      <c r="M58" s="38"/>
      <c r="N58" s="51"/>
    </row>
    <row r="59" spans="1:14" x14ac:dyDescent="0.2">
      <c r="B59" t="s">
        <v>115</v>
      </c>
      <c r="F59" s="78"/>
      <c r="G59" s="37">
        <f>+'CAC Bal Sheet'!G59+'AL Bal Sheet'!G59+'ESL Bal Sheet'!G59</f>
        <v>68969.967000000004</v>
      </c>
      <c r="H59" s="96">
        <f>+'CAC Bal Sheet'!H59+'AL Bal Sheet'!H59+'ESL Bal Sheet'!H59</f>
        <v>69161.539999999994</v>
      </c>
      <c r="I59" s="97">
        <f>+'CAC Bal Sheet'!I59+'AL Bal Sheet'!I59+'ESL Bal Sheet'!I59</f>
        <v>68969.960000000006</v>
      </c>
      <c r="J59" s="97">
        <f>+'CAC Bal Sheet'!J59+'AL Bal Sheet'!J59+'ESL Bal Sheet'!J59</f>
        <v>67373.429999999993</v>
      </c>
      <c r="K59" s="97">
        <f>+'CAC Bal Sheet'!K59+'AL Bal Sheet'!K59+'ESL Bal Sheet'!K59</f>
        <v>77117.98</v>
      </c>
      <c r="L59" s="37">
        <f>+'CAC Bal Sheet'!L59+'AL Bal Sheet'!L59+'ESL Bal Sheet'!L59</f>
        <v>79936</v>
      </c>
      <c r="M59" s="38"/>
      <c r="N59" s="51"/>
    </row>
    <row r="60" spans="1:14" x14ac:dyDescent="0.2">
      <c r="B60" t="s">
        <v>31</v>
      </c>
      <c r="F60" s="78"/>
      <c r="G60" s="37">
        <f>+'CAC Bal Sheet'!G60+'AL Bal Sheet'!G60+'ESL Bal Sheet'!G60</f>
        <v>184776.37</v>
      </c>
      <c r="H60" s="96">
        <f>+'CAC Bal Sheet'!H60+'AL Bal Sheet'!H60+'ESL Bal Sheet'!H60</f>
        <v>198267.59</v>
      </c>
      <c r="I60" s="97">
        <f>+'CAC Bal Sheet'!I10+'AL Bal Sheet'!I60+'ESL Bal Sheet'!I60</f>
        <v>197976.39</v>
      </c>
      <c r="J60" s="97">
        <f>+'CAC Bal Sheet'!J60+'AL Bal Sheet'!J60+'ESL Bal Sheet'!J60</f>
        <v>195762.41</v>
      </c>
      <c r="K60" s="97">
        <f>+'CAC Bal Sheet'!K60+'AL Bal Sheet'!K60+'ESL Bal Sheet'!K60</f>
        <v>213050.19</v>
      </c>
      <c r="L60" s="37">
        <f>+'CAC Bal Sheet'!L60+'AL Bal Sheet'!L60+'ESL Bal Sheet'!L60</f>
        <v>161723</v>
      </c>
      <c r="M60" s="38"/>
      <c r="N60" s="51"/>
    </row>
    <row r="61" spans="1:14" x14ac:dyDescent="0.2">
      <c r="F61" s="78"/>
      <c r="G61" s="37"/>
      <c r="H61" s="96"/>
      <c r="I61" s="97"/>
      <c r="J61" s="97"/>
      <c r="K61" s="97"/>
      <c r="L61" s="37"/>
      <c r="M61" s="38"/>
      <c r="N61" s="51"/>
    </row>
    <row r="62" spans="1:14" x14ac:dyDescent="0.2">
      <c r="B62" s="1" t="s">
        <v>73</v>
      </c>
      <c r="F62" s="78"/>
      <c r="G62" s="54">
        <f>+'CAC Bal Sheet'!G62+'AL Bal Sheet'!G62+'ESL Bal Sheet'!G62</f>
        <v>461708.79000000004</v>
      </c>
      <c r="H62" s="98">
        <f>+'CAC Bal Sheet'!H62+'AL Bal Sheet'!H62+'ESL Bal Sheet'!H62</f>
        <v>475396.07999999996</v>
      </c>
      <c r="I62" s="99">
        <f>+'CAC Bal Sheet'!I62+'AL Bal Sheet'!I62+'ESL Bal Sheet'!I62</f>
        <v>474873.01</v>
      </c>
      <c r="J62" s="99">
        <f>+'CAC Bal Sheet'!J62+'AL Bal Sheet'!J62+'ESL Bal Sheet'!J62</f>
        <v>496112.97</v>
      </c>
      <c r="K62" s="99">
        <f>+'CAC Bal Sheet'!K62+'AL Bal Sheet'!K62+'ESL Bal Sheet'!K62</f>
        <v>523270.26</v>
      </c>
      <c r="L62" s="54">
        <f>+'CAC Bal Sheet'!L62+'AL Bal Sheet'!L62+'ESL Bal Sheet'!L62</f>
        <v>452159</v>
      </c>
      <c r="M62" s="53">
        <f>IF($D$4=$H$5,H62-L62,IF($D$4=$I$5,I62-L62,IF($D$4=$J$5,J62-L62,K62-L62)))</f>
        <v>71111.260000000009</v>
      </c>
      <c r="N62" s="55">
        <f>IF($D$4=$H$5,H62-G62,IF($D$4=$I$5,I62-G62,IF($D$4=$J$5,J62-G62,K62-G62)))</f>
        <v>61561.469999999972</v>
      </c>
    </row>
    <row r="63" spans="1:14" x14ac:dyDescent="0.2">
      <c r="F63" s="78"/>
      <c r="G63" s="37"/>
      <c r="H63" s="96"/>
      <c r="I63" s="97"/>
      <c r="J63" s="97"/>
      <c r="K63" s="97"/>
      <c r="L63" s="37"/>
      <c r="M63" s="38"/>
      <c r="N63" s="51"/>
    </row>
    <row r="64" spans="1:14" ht="13.2" thickBot="1" x14ac:dyDescent="0.25">
      <c r="A64" s="1" t="s">
        <v>126</v>
      </c>
      <c r="F64" s="82"/>
      <c r="G64" s="43">
        <f>+'CAC Bal Sheet'!G64+'AL Bal Sheet'!G64+'ESL Bal Sheet'!G64</f>
        <v>473765.29000000004</v>
      </c>
      <c r="H64" s="104">
        <f>+'CAC Bal Sheet'!H64+'AL Bal Sheet'!H64+'ESL Bal Sheet'!H64</f>
        <v>486169.07999999996</v>
      </c>
      <c r="I64" s="105">
        <f>+'CAC Bal Sheet'!I64+'AL Bal Sheet'!I64+'ESL Bal Sheet'!I64</f>
        <v>483550.83999999997</v>
      </c>
      <c r="J64" s="105">
        <f>+'CAC Bal Sheet'!J64+'AL Bal Sheet'!J64+'ESL Bal Sheet'!J64</f>
        <v>502274.8</v>
      </c>
      <c r="K64" s="233">
        <f>+'CAC Bal Sheet'!K64+'AL Bal Sheet'!K64+'ESL Bal Sheet'!K64</f>
        <v>531611.09</v>
      </c>
      <c r="L64" s="43">
        <f>+'CAC Bal Sheet'!L64+'AL Bal Sheet'!L64+'ESL Bal Sheet'!L64</f>
        <v>459613</v>
      </c>
      <c r="M64" s="44">
        <f>IF($D$4=$H$5,H64-L64,IF($D$4=$I$5,I64-L64,IF($D$4=$J$5,J64-L64,K64-L64)))</f>
        <v>71998.089999999967</v>
      </c>
      <c r="N64" s="58">
        <f>IF($D$4=$H$5,H64-G64,IF($D$4=$I$5,I64-G64,IF($D$4=$J$5,J64-G64,K64-G64)))</f>
        <v>57845.79999999993</v>
      </c>
    </row>
    <row r="65" spans="1:14" ht="13.2" thickTop="1" x14ac:dyDescent="0.2">
      <c r="F65" s="9"/>
      <c r="G65" s="34"/>
      <c r="H65" s="93"/>
      <c r="I65" s="93"/>
      <c r="J65" s="93"/>
      <c r="K65" s="93"/>
      <c r="L65" s="38"/>
      <c r="M65" s="34"/>
      <c r="N65" s="34"/>
    </row>
    <row r="66" spans="1:14" x14ac:dyDescent="0.2">
      <c r="A66" t="s">
        <v>129</v>
      </c>
      <c r="F66" s="9"/>
      <c r="G66" s="249">
        <f>+G45-G64</f>
        <v>4.9999999930150807E-2</v>
      </c>
      <c r="H66" s="106">
        <f t="shared" ref="H66:N66" si="0">+H45-H64</f>
        <v>0</v>
      </c>
      <c r="I66" s="106">
        <f t="shared" si="0"/>
        <v>0</v>
      </c>
      <c r="J66" s="107">
        <f t="shared" si="0"/>
        <v>0</v>
      </c>
      <c r="K66" s="107">
        <f t="shared" si="0"/>
        <v>0</v>
      </c>
      <c r="L66" s="228">
        <f t="shared" si="0"/>
        <v>0</v>
      </c>
      <c r="M66" s="228">
        <f t="shared" si="0"/>
        <v>0</v>
      </c>
      <c r="N66" s="249">
        <f t="shared" si="0"/>
        <v>-4.9999999930150807E-2</v>
      </c>
    </row>
    <row r="67" spans="1:14" x14ac:dyDescent="0.2">
      <c r="H67" s="87"/>
      <c r="I67" s="87"/>
      <c r="J67" s="87"/>
      <c r="K67" s="87"/>
      <c r="L67" s="229"/>
    </row>
    <row r="68" spans="1:14" x14ac:dyDescent="0.2">
      <c r="H68" s="87"/>
      <c r="I68" s="87"/>
      <c r="J68" s="87"/>
      <c r="K68" s="83"/>
    </row>
    <row r="69" spans="1:14" x14ac:dyDescent="0.2">
      <c r="H69" s="87"/>
      <c r="I69" s="87"/>
      <c r="J69" s="87"/>
      <c r="K69" s="87"/>
    </row>
    <row r="70" spans="1:14" x14ac:dyDescent="0.2">
      <c r="A70" s="1" t="s">
        <v>116</v>
      </c>
      <c r="F70" s="13"/>
      <c r="G70" s="13"/>
      <c r="H70" s="108"/>
      <c r="I70" s="108"/>
      <c r="J70" s="108"/>
      <c r="K70" s="108"/>
    </row>
    <row r="71" spans="1:14" x14ac:dyDescent="0.2">
      <c r="B71" t="s">
        <v>118</v>
      </c>
      <c r="F71" s="12">
        <v>3115</v>
      </c>
      <c r="G71" s="111">
        <f>+'CAC Bal Sheet'!G71+'AL Bal Sheet'!G71+'ESL Bal Sheet'!G71</f>
        <v>12654</v>
      </c>
      <c r="H71" s="109">
        <f>+'CAC Bal Sheet'!H71+'AL Bal Sheet'!H71+'ESL Bal Sheet'!H71</f>
        <v>12654</v>
      </c>
      <c r="I71" s="110">
        <f>+'CAC Bal Sheet'!I71+'AL Bal Sheet'!I71+'ESL Bal Sheet'!I71</f>
        <v>12654</v>
      </c>
      <c r="J71" s="110">
        <f>+'CAC Bal Sheet'!J71+'AL Bal Sheet'!J71+'ESL Bal Sheet'!J71</f>
        <v>12654</v>
      </c>
      <c r="K71" s="111">
        <f>+'CAC Bal Sheet'!K71+'AL Bal Sheet'!K71+'ESL Bal Sheet'!K71</f>
        <v>12654</v>
      </c>
      <c r="L71" s="23"/>
    </row>
    <row r="72" spans="1:14" x14ac:dyDescent="0.2">
      <c r="B72" t="s">
        <v>119</v>
      </c>
      <c r="F72" s="3">
        <v>3116</v>
      </c>
      <c r="G72" s="111">
        <f>+'CAC Bal Sheet'!G72+'AL Bal Sheet'!G72+'ESL Bal Sheet'!G72</f>
        <v>1047</v>
      </c>
      <c r="H72" s="109">
        <f>+'CAC Bal Sheet'!H72+'AL Bal Sheet'!H72+'ESL Bal Sheet'!H72</f>
        <v>1047</v>
      </c>
      <c r="I72" s="110">
        <f>+'CAC Bal Sheet'!I72+'AL Bal Sheet'!I72+'ESL Bal Sheet'!I72</f>
        <v>1047</v>
      </c>
      <c r="J72" s="110">
        <f>+'CAC Bal Sheet'!J72+'AL Bal Sheet'!J72+'ESL Bal Sheet'!J72</f>
        <v>1047</v>
      </c>
      <c r="K72" s="111">
        <f>+'CAC Bal Sheet'!K72+'AL Bal Sheet'!K72+'ESL Bal Sheet'!K72</f>
        <v>1047</v>
      </c>
      <c r="L72" s="32"/>
    </row>
    <row r="73" spans="1:14" x14ac:dyDescent="0.2">
      <c r="B73" t="s">
        <v>120</v>
      </c>
      <c r="F73" s="3">
        <v>3112</v>
      </c>
      <c r="G73" s="111">
        <f>+'CAC Bal Sheet'!G73+'AL Bal Sheet'!G73+'ESL Bal Sheet'!G73</f>
        <v>3374</v>
      </c>
      <c r="H73" s="109">
        <f>+'CAC Bal Sheet'!H73+'AL Bal Sheet'!H73+'ESL Bal Sheet'!H73</f>
        <v>3374.35</v>
      </c>
      <c r="I73" s="110">
        <f>+'CAC Bal Sheet'!I73+'AL Bal Sheet'!I73+'ESL Bal Sheet'!I73</f>
        <v>3374.35</v>
      </c>
      <c r="J73" s="110">
        <f>+'CAC Bal Sheet'!J73+'AL Bal Sheet'!J73+'ESL Bal Sheet'!J73</f>
        <v>3374</v>
      </c>
      <c r="K73" s="111">
        <f>+'CAC Bal Sheet'!K73+'AL Bal Sheet'!K73+'ESL Bal Sheet'!K73</f>
        <v>3374</v>
      </c>
      <c r="L73" s="32"/>
    </row>
    <row r="74" spans="1:14" x14ac:dyDescent="0.2">
      <c r="B74" t="s">
        <v>121</v>
      </c>
      <c r="F74" s="3">
        <v>3113</v>
      </c>
      <c r="G74" s="111">
        <f>+'CAC Bal Sheet'!G74+'AL Bal Sheet'!G74+'ESL Bal Sheet'!G74</f>
        <v>13095</v>
      </c>
      <c r="H74" s="109">
        <f>+'CAC Bal Sheet'!H74+'AL Bal Sheet'!H74+'ESL Bal Sheet'!H74</f>
        <v>13095</v>
      </c>
      <c r="I74" s="110">
        <f>+'CAC Bal Sheet'!I74+'AL Bal Sheet'!I74+'ESL Bal Sheet'!I74</f>
        <v>13095</v>
      </c>
      <c r="J74" s="110">
        <f>+'CAC Bal Sheet'!J74+'AL Bal Sheet'!J74+'ESL Bal Sheet'!J74</f>
        <v>13095</v>
      </c>
      <c r="K74" s="111">
        <f>+'CAC Bal Sheet'!K74+'AL Bal Sheet'!K74+'ESL Bal Sheet'!K74</f>
        <v>13095</v>
      </c>
      <c r="L74" s="32"/>
    </row>
    <row r="75" spans="1:14" x14ac:dyDescent="0.2">
      <c r="B75" t="s">
        <v>82</v>
      </c>
      <c r="F75" s="3">
        <v>3117</v>
      </c>
      <c r="G75" s="111">
        <f>+'CAC Bal Sheet'!G75+'AL Bal Sheet'!G75+'ESL Bal Sheet'!G75</f>
        <v>0</v>
      </c>
      <c r="H75" s="109">
        <f>+'CAC Bal Sheet'!H75+'AL Bal Sheet'!H75+'ESL Bal Sheet'!H75</f>
        <v>0</v>
      </c>
      <c r="I75" s="110">
        <f>+'CAC Bal Sheet'!I75+'AL Bal Sheet'!I75+'ESL Bal Sheet'!I75</f>
        <v>0</v>
      </c>
      <c r="J75" s="110">
        <f>+'CAC Bal Sheet'!J75+'AL Bal Sheet'!J75+'ESL Bal Sheet'!J75</f>
        <v>0</v>
      </c>
      <c r="K75" s="111">
        <f>+'CAC Bal Sheet'!K75+'AL Bal Sheet'!K75+'ESL Bal Sheet'!K75</f>
        <v>0</v>
      </c>
      <c r="L75" s="32"/>
    </row>
    <row r="76" spans="1:14" x14ac:dyDescent="0.2">
      <c r="B76" t="s">
        <v>83</v>
      </c>
      <c r="F76" s="3">
        <v>3118</v>
      </c>
      <c r="G76" s="111">
        <f>+'CAC Bal Sheet'!G76+'AL Bal Sheet'!G76+'ESL Bal Sheet'!G76</f>
        <v>0</v>
      </c>
      <c r="H76" s="109">
        <f>+'CAC Bal Sheet'!H76+'AL Bal Sheet'!H76+'ESL Bal Sheet'!H76</f>
        <v>0</v>
      </c>
      <c r="I76" s="110">
        <f>+'CAC Bal Sheet'!I76+'AL Bal Sheet'!I76+'ESL Bal Sheet'!I76</f>
        <v>0</v>
      </c>
      <c r="J76" s="110">
        <f>+'CAC Bal Sheet'!J76+'AL Bal Sheet'!J76+'ESL Bal Sheet'!J76</f>
        <v>0</v>
      </c>
      <c r="K76" s="111">
        <f>+'CAC Bal Sheet'!K76+'AL Bal Sheet'!K76+'ESL Bal Sheet'!K76</f>
        <v>0</v>
      </c>
      <c r="L76" s="32"/>
    </row>
    <row r="77" spans="1:14" x14ac:dyDescent="0.2">
      <c r="B77" t="s">
        <v>21</v>
      </c>
      <c r="F77" s="3">
        <v>3119</v>
      </c>
      <c r="G77" s="111">
        <f>+'CAC Bal Sheet'!G77+'AL Bal Sheet'!G77+'ESL Bal Sheet'!G77</f>
        <v>4658</v>
      </c>
      <c r="H77" s="109">
        <f>+'CAC Bal Sheet'!H77+'AL Bal Sheet'!H77+'ESL Bal Sheet'!H77</f>
        <v>4657</v>
      </c>
      <c r="I77" s="110">
        <f>+'CAC Bal Sheet'!I77+'AL Bal Sheet'!I77+'ESL Bal Sheet'!I77</f>
        <v>4657</v>
      </c>
      <c r="J77" s="110">
        <f>+'CAC Bal Sheet'!J77+'AL Bal Sheet'!J77+'ESL Bal Sheet'!J77</f>
        <v>4657</v>
      </c>
      <c r="K77" s="111">
        <f>+'CAC Bal Sheet'!K77+'AL Bal Sheet'!K77+'ESL Bal Sheet'!K77</f>
        <v>4657</v>
      </c>
      <c r="L77" s="32"/>
    </row>
    <row r="78" spans="1:14" x14ac:dyDescent="0.2">
      <c r="B78" t="s">
        <v>23</v>
      </c>
      <c r="F78" s="3">
        <v>3120</v>
      </c>
      <c r="G78" s="19">
        <f>+'CAC Bal Sheet'!G78+'AL Bal Sheet'!G78+'ESL Bal Sheet'!G78</f>
        <v>2271</v>
      </c>
      <c r="H78" s="109">
        <f>+'CAC Bal Sheet'!H78+'AL Bal Sheet'!H78+'ESL Bal Sheet'!H78</f>
        <v>2271.65</v>
      </c>
      <c r="I78" s="110">
        <f>+'CAC Bal Sheet'!I78+'AL Bal Sheet'!I78+'ESL Bal Sheet'!I78</f>
        <v>2271.65</v>
      </c>
      <c r="J78" s="110">
        <f>+'CAC Bal Sheet'!J78+'AL Bal Sheet'!J78+'ESL Bal Sheet'!J78</f>
        <v>2272</v>
      </c>
      <c r="K78" s="111">
        <f>+'CAC Bal Sheet'!K78+'AL Bal Sheet'!K78+'ESL Bal Sheet'!K78</f>
        <v>2272</v>
      </c>
      <c r="L78" s="32"/>
    </row>
    <row r="79" spans="1:14" x14ac:dyDescent="0.2">
      <c r="B79" t="s">
        <v>24</v>
      </c>
      <c r="F79" s="3">
        <v>3121</v>
      </c>
      <c r="G79" s="19">
        <f>+'CAC Bal Sheet'!G79+'AL Bal Sheet'!G79+'ESL Bal Sheet'!G79</f>
        <v>0</v>
      </c>
      <c r="H79" s="109">
        <f>+'CAC Bal Sheet'!H79+'AL Bal Sheet'!H79+'ESL Bal Sheet'!H79</f>
        <v>0</v>
      </c>
      <c r="I79" s="110">
        <f>+'CAC Bal Sheet'!I79+'AL Bal Sheet'!I79+'ESL Bal Sheet'!I79</f>
        <v>0</v>
      </c>
      <c r="J79" s="110">
        <f>+'CAC Bal Sheet'!J79+'AL Bal Sheet'!J79+'ESL Bal Sheet'!J79</f>
        <v>0</v>
      </c>
      <c r="K79" s="111">
        <f>+'CAC Bal Sheet'!K79+'AL Bal Sheet'!K79+'ESL Bal Sheet'!K79</f>
        <v>0</v>
      </c>
      <c r="L79" s="32"/>
    </row>
    <row r="80" spans="1:14" x14ac:dyDescent="0.2">
      <c r="B80" t="s">
        <v>143</v>
      </c>
      <c r="F80" s="3">
        <v>3122</v>
      </c>
      <c r="G80" s="19">
        <f>+'CAC Bal Sheet'!G80+'AL Bal Sheet'!G80+'ESL Bal Sheet'!G80</f>
        <v>0</v>
      </c>
      <c r="H80" s="109">
        <f>+'CAC Bal Sheet'!H80+'AL Bal Sheet'!H80+'ESL Bal Sheet'!H80</f>
        <v>0</v>
      </c>
      <c r="I80" s="110">
        <f>+'CAC Bal Sheet'!I80+'AL Bal Sheet'!I80+'ESL Bal Sheet'!I80</f>
        <v>0</v>
      </c>
      <c r="J80" s="110">
        <f>+'CAC Bal Sheet'!J80+'AL Bal Sheet'!J80+'ESL Bal Sheet'!J80</f>
        <v>0</v>
      </c>
      <c r="K80" s="111">
        <f>+'CAC Bal Sheet'!K80+'AL Bal Sheet'!K80+'ESL Bal Sheet'!K80</f>
        <v>0</v>
      </c>
      <c r="L80" s="32"/>
    </row>
    <row r="81" spans="2:12" x14ac:dyDescent="0.2">
      <c r="B81" t="s">
        <v>27</v>
      </c>
      <c r="F81" s="3">
        <v>3123</v>
      </c>
      <c r="G81" s="19">
        <f>+'CAC Bal Sheet'!G81+'AL Bal Sheet'!G81+'ESL Bal Sheet'!G81</f>
        <v>779</v>
      </c>
      <c r="H81" s="109">
        <f>+'CAC Bal Sheet'!H81+'AL Bal Sheet'!H81+'ESL Bal Sheet'!H81</f>
        <v>779</v>
      </c>
      <c r="I81" s="110">
        <f>+'CAC Bal Sheet'!I81+'AL Bal Sheet'!I81+'ESL Bal Sheet'!I81</f>
        <v>779</v>
      </c>
      <c r="J81" s="110">
        <f>+'CAC Bal Sheet'!J81+'AL Bal Sheet'!J81+'ESL Bal Sheet'!J81</f>
        <v>779</v>
      </c>
      <c r="K81" s="111">
        <f>+'CAC Bal Sheet'!K81+'AL Bal Sheet'!K81+'ESL Bal Sheet'!K81</f>
        <v>779</v>
      </c>
      <c r="L81" s="32"/>
    </row>
    <row r="82" spans="2:12" x14ac:dyDescent="0.2">
      <c r="B82" t="s">
        <v>315</v>
      </c>
      <c r="F82" s="3"/>
      <c r="G82" s="19"/>
      <c r="H82" s="109"/>
      <c r="I82" s="110">
        <f>+'CAC Bal Sheet'!I82+'AL Bal Sheet'!I82+'ESL Bal Sheet'!I82</f>
        <v>0</v>
      </c>
      <c r="J82" s="110">
        <f>+'CAC Bal Sheet'!J82+'AL Bal Sheet'!J82+'ESL Bal Sheet'!J82</f>
        <v>0</v>
      </c>
      <c r="K82" s="111">
        <f>+'CAC Bal Sheet'!K82+'AL Bal Sheet'!K82+'ESL Bal Sheet'!K82</f>
        <v>0</v>
      </c>
      <c r="L82" s="32"/>
    </row>
    <row r="83" spans="2:12" x14ac:dyDescent="0.2">
      <c r="F83" s="20"/>
      <c r="G83" s="19"/>
      <c r="H83" s="109"/>
      <c r="I83" s="110"/>
      <c r="J83" s="110"/>
      <c r="K83" s="111"/>
      <c r="L83" s="32"/>
    </row>
    <row r="84" spans="2:12" ht="13.2" thickBot="1" x14ac:dyDescent="0.25">
      <c r="B84" s="1" t="s">
        <v>29</v>
      </c>
      <c r="F84" s="21"/>
      <c r="G84" s="22">
        <f>SUM(G71:G83)</f>
        <v>37878</v>
      </c>
      <c r="H84" s="112">
        <f>SUM(H71:H83)</f>
        <v>37878</v>
      </c>
      <c r="I84" s="113">
        <f>SUM(I71:I83)</f>
        <v>37878</v>
      </c>
      <c r="J84" s="113">
        <f>SUM(J71:J83)</f>
        <v>37878</v>
      </c>
      <c r="K84" s="114">
        <f>SUM(K71:K83)</f>
        <v>37878</v>
      </c>
      <c r="L84" s="33"/>
    </row>
    <row r="85" spans="2:12" ht="13.2" thickTop="1" x14ac:dyDescent="0.2"/>
  </sheetData>
  <sheetProtection algorithmName="SHA-512" hashValue="DW8fwUVg3zC7LrPYnGaNC6Vi7AQQlJng/UKAPSfCXmvLaJblhbiRhGhLeLQilFzX24NCMP80lsYeGw6dfsHk1g==" saltValue="5N0wKB9KOMQLbKpEameXXw==" spinCount="100000" sheet="1" objects="1" scenarios="1"/>
  <phoneticPr fontId="4" type="noConversion"/>
  <pageMargins left="0.75" right="0.75" top="0.5" bottom="1" header="0.5" footer="0.5"/>
  <pageSetup scale="75" fitToHeight="3" orientation="landscape" horizontalDpi="4294967292" verticalDpi="4294967292" r:id="rId1"/>
  <headerFooter alignWithMargins="0">
    <oddFooter>&amp;L&amp;F&amp;C&amp;D&amp;R&amp;A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27"/>
    <pageSetUpPr fitToPage="1"/>
  </sheetPr>
  <dimension ref="A1:P31"/>
  <sheetViews>
    <sheetView zoomScaleNormal="100" workbookViewId="0"/>
  </sheetViews>
  <sheetFormatPr defaultColWidth="11.08984375" defaultRowHeight="12.6" x14ac:dyDescent="0.2"/>
  <cols>
    <col min="1" max="1" width="5.7265625" style="116" customWidth="1"/>
    <col min="2" max="2" width="5.08984375" style="116" customWidth="1"/>
    <col min="3" max="3" width="4.6328125" style="116" customWidth="1"/>
    <col min="4" max="4" width="4.36328125" style="116" customWidth="1"/>
    <col min="5" max="5" width="4.7265625" style="116" customWidth="1"/>
    <col min="6" max="6" width="7.6328125" style="116" customWidth="1"/>
    <col min="7" max="7" width="12" style="116" customWidth="1"/>
    <col min="8" max="9" width="11.08984375" style="116"/>
    <col min="10" max="10" width="12.90625" style="116" customWidth="1"/>
    <col min="11" max="11" width="11.08984375" style="116"/>
    <col min="12" max="12" width="12" style="116" customWidth="1"/>
    <col min="13" max="13" width="12.08984375" style="116" customWidth="1"/>
    <col min="14" max="16384" width="11.08984375" style="116"/>
  </cols>
  <sheetData>
    <row r="1" spans="1:15" ht="16.2" x14ac:dyDescent="0.3">
      <c r="A1" s="115" t="s">
        <v>188</v>
      </c>
    </row>
    <row r="2" spans="1:15" x14ac:dyDescent="0.2">
      <c r="A2" s="117" t="s">
        <v>81</v>
      </c>
    </row>
    <row r="3" spans="1:15" ht="13.2" thickBot="1" x14ac:dyDescent="0.25">
      <c r="A3" s="118" t="s">
        <v>266</v>
      </c>
      <c r="H3" s="116">
        <v>1</v>
      </c>
      <c r="I3" s="116">
        <v>2</v>
      </c>
      <c r="J3" s="116">
        <v>3</v>
      </c>
      <c r="K3" s="116">
        <v>4</v>
      </c>
    </row>
    <row r="4" spans="1:15" customFormat="1" ht="13.2" thickBot="1" x14ac:dyDescent="0.25">
      <c r="A4" s="1" t="s">
        <v>34</v>
      </c>
      <c r="E4" s="18">
        <v>4</v>
      </c>
      <c r="G4" s="63" t="s">
        <v>29</v>
      </c>
      <c r="H4" s="8" t="s">
        <v>134</v>
      </c>
      <c r="I4" s="6" t="s">
        <v>134</v>
      </c>
      <c r="J4" s="6" t="s">
        <v>134</v>
      </c>
      <c r="K4" s="6" t="s">
        <v>134</v>
      </c>
      <c r="L4" s="72" t="s">
        <v>29</v>
      </c>
      <c r="M4" s="30" t="s">
        <v>19</v>
      </c>
      <c r="N4" s="73" t="s">
        <v>135</v>
      </c>
      <c r="O4" s="64" t="s">
        <v>136</v>
      </c>
    </row>
    <row r="5" spans="1:15" customFormat="1" x14ac:dyDescent="0.2">
      <c r="G5" s="62">
        <v>40998</v>
      </c>
      <c r="H5" s="69">
        <v>41089</v>
      </c>
      <c r="I5" s="70">
        <v>41181</v>
      </c>
      <c r="J5" s="70">
        <v>41273</v>
      </c>
      <c r="K5" s="7">
        <v>41363</v>
      </c>
      <c r="L5" s="31" t="s">
        <v>438</v>
      </c>
      <c r="M5" s="27" t="s">
        <v>438</v>
      </c>
      <c r="N5" s="74" t="s">
        <v>19</v>
      </c>
      <c r="O5" s="66" t="s">
        <v>125</v>
      </c>
    </row>
    <row r="6" spans="1:15" x14ac:dyDescent="0.2">
      <c r="G6" s="120"/>
      <c r="L6" s="120"/>
      <c r="M6" s="120"/>
      <c r="O6" s="121"/>
    </row>
    <row r="7" spans="1:15" x14ac:dyDescent="0.2">
      <c r="A7" s="118" t="s">
        <v>59</v>
      </c>
      <c r="G7" s="122">
        <f>'CAC CF Smt'!G7+'AL CF Smt'!G7+'ESL CF Smt'!G7</f>
        <v>317233.41009999998</v>
      </c>
      <c r="H7" s="123">
        <f>'CAC CF Smt'!H7+'AL CF Smt'!H7+'ESL CF Smt'!H7</f>
        <v>354796.23</v>
      </c>
      <c r="I7" s="123">
        <f>'CAC CF Smt'!I7+'AL CF Smt'!I7+'ESL CF Smt'!I7</f>
        <v>367007.96</v>
      </c>
      <c r="J7" s="123">
        <f>'CAC CF Smt'!J7+'AL CF Smt'!J7+'ESL CF Smt'!J7</f>
        <v>364581.6</v>
      </c>
      <c r="K7" s="123">
        <f>'CAC CF Smt'!K7+'AL CF Smt'!K7+'ESL CF Smt'!K7</f>
        <v>384902.08999999997</v>
      </c>
      <c r="L7" s="122">
        <f>'CAC CF Smt'!L7+'AL CF Smt'!L7+'ESL CF Smt'!L7</f>
        <v>354796.23</v>
      </c>
      <c r="M7" s="122">
        <f>'CAC CF Smt'!M7+'AL CF Smt'!M7+'ESL CF Smt'!M7</f>
        <v>354796.23</v>
      </c>
      <c r="N7" s="123">
        <f>L7-M7</f>
        <v>0</v>
      </c>
      <c r="O7" s="124">
        <f>L7-G7</f>
        <v>37562.819900000002</v>
      </c>
    </row>
    <row r="8" spans="1:15" x14ac:dyDescent="0.2">
      <c r="G8" s="125"/>
      <c r="H8" s="126"/>
      <c r="I8" s="126"/>
      <c r="J8" s="126"/>
      <c r="K8" s="126"/>
      <c r="L8" s="125"/>
      <c r="M8" s="125"/>
      <c r="N8" s="126"/>
      <c r="O8" s="127"/>
    </row>
    <row r="9" spans="1:15" x14ac:dyDescent="0.2">
      <c r="A9" s="118" t="s">
        <v>63</v>
      </c>
      <c r="G9" s="128">
        <f>'CAC CF Smt'!G9+'AL CF Smt'!G9+'ESL CF Smt'!G9</f>
        <v>46746.65</v>
      </c>
      <c r="H9" s="129">
        <f>'CAC CF Smt'!H9+'AL CF Smt'!H9+'ESL CF Smt'!H9</f>
        <v>13495.239999999998</v>
      </c>
      <c r="I9" s="129">
        <f>'CAC CF Smt'!I9+'AL CF Smt'!I9+'ESL CF Smt'!I9</f>
        <v>27519.809999999994</v>
      </c>
      <c r="J9" s="129">
        <f>'CAC CF Smt'!J9+'AL CF Smt'!J9+'ESL CF Smt'!J9</f>
        <v>33104.490000000005</v>
      </c>
      <c r="K9" s="129">
        <f>'CAC CF Smt'!K9+'AL CF Smt'!K9+'ESL CF Smt'!K9</f>
        <v>27412.739999999994</v>
      </c>
      <c r="L9" s="128">
        <f>'CAC CF Smt'!L9+'AL CF Smt'!L9+'ESL CF Smt'!L9</f>
        <v>101532.28</v>
      </c>
      <c r="M9" s="128">
        <f>'CAC CF Smt'!M9+'AL CF Smt'!M9+'ESL CF Smt'!M9</f>
        <v>44118</v>
      </c>
      <c r="N9" s="129">
        <f>L9-M9</f>
        <v>57414.28</v>
      </c>
      <c r="O9" s="130">
        <f>L9-G9</f>
        <v>54785.63</v>
      </c>
    </row>
    <row r="10" spans="1:15" x14ac:dyDescent="0.2">
      <c r="G10" s="131"/>
      <c r="H10" s="132"/>
      <c r="I10" s="132"/>
      <c r="J10" s="132"/>
      <c r="K10" s="132"/>
      <c r="L10" s="131"/>
      <c r="M10" s="131"/>
      <c r="N10" s="132"/>
      <c r="O10" s="133"/>
    </row>
    <row r="11" spans="1:15" x14ac:dyDescent="0.2">
      <c r="A11" s="118" t="s">
        <v>64</v>
      </c>
      <c r="G11" s="128">
        <f>'CAC CF Smt'!G11+'AL CF Smt'!G11+'ESL CF Smt'!G11</f>
        <v>-13475</v>
      </c>
      <c r="H11" s="129">
        <f>'CAC CF Smt'!H11+'AL CF Smt'!H11+'ESL CF Smt'!H11</f>
        <v>0</v>
      </c>
      <c r="I11" s="129">
        <f>'CAC CF Smt'!I11+'AL CF Smt'!I11+'ESL CF Smt'!I11</f>
        <v>-27851</v>
      </c>
      <c r="J11" s="129">
        <f>'CAC CF Smt'!J11+'AL CF Smt'!J11+'ESL CF Smt'!J11</f>
        <v>-10268</v>
      </c>
      <c r="K11" s="129">
        <f>'CAC CF Smt'!K11+'AL CF Smt'!K11+'ESL CF Smt'!K11</f>
        <v>0</v>
      </c>
      <c r="L11" s="128">
        <f>'CAC CF Smt'!L11+'AL CF Smt'!L11+'ESL CF Smt'!L11</f>
        <v>-38119</v>
      </c>
      <c r="M11" s="128">
        <f>'CAC CF Smt'!M11+'AL CF Smt'!M11+'ESL CF Smt'!M11</f>
        <v>-60300</v>
      </c>
      <c r="N11" s="129">
        <f>L11-M11</f>
        <v>22181</v>
      </c>
      <c r="O11" s="130">
        <f>L11-G11</f>
        <v>-24644</v>
      </c>
    </row>
    <row r="12" spans="1:15" x14ac:dyDescent="0.2">
      <c r="G12" s="131"/>
      <c r="H12" s="132"/>
      <c r="I12" s="132"/>
      <c r="J12" s="132"/>
      <c r="K12" s="132"/>
      <c r="L12" s="131"/>
      <c r="M12" s="131"/>
      <c r="N12" s="132"/>
      <c r="O12" s="133"/>
    </row>
    <row r="13" spans="1:15" x14ac:dyDescent="0.2">
      <c r="A13" s="118" t="s">
        <v>61</v>
      </c>
      <c r="G13" s="128">
        <f>'CAC CF Smt'!G13+'AL CF Smt'!G13+'ESL CF Smt'!G13</f>
        <v>4290.5</v>
      </c>
      <c r="H13" s="129">
        <f>'CAC CF Smt'!H13+'AL CF Smt'!H13+'ESL CF Smt'!H13</f>
        <v>-1283.51</v>
      </c>
      <c r="I13" s="129">
        <f>'CAC CF Smt'!I13+'AL CF Smt'!I13+'ESL CF Smt'!I13</f>
        <v>-2095.17</v>
      </c>
      <c r="J13" s="129">
        <f>'CAC CF Smt'!J13+'AL CF Smt'!J13+'ESL CF Smt'!J13</f>
        <v>-2516</v>
      </c>
      <c r="K13" s="129">
        <f>'CAC CF Smt'!K13+'AL CF Smt'!K13+'ESL CF Smt'!K13</f>
        <v>2179</v>
      </c>
      <c r="L13" s="128">
        <f>'CAC CF Smt'!L13+'AL CF Smt'!L13+'ESL CF Smt'!L13</f>
        <v>-3715.6800000000003</v>
      </c>
      <c r="M13" s="128">
        <f>'CAC CF Smt'!M13+'AL CF Smt'!M13+'ESL CF Smt'!M13</f>
        <v>999</v>
      </c>
      <c r="N13" s="129">
        <f>L13-M13</f>
        <v>-4714.68</v>
      </c>
      <c r="O13" s="130">
        <f>L13-G13</f>
        <v>-8006.18</v>
      </c>
    </row>
    <row r="14" spans="1:15" x14ac:dyDescent="0.2">
      <c r="G14" s="131"/>
      <c r="H14" s="126"/>
      <c r="I14" s="126"/>
      <c r="J14" s="126"/>
      <c r="K14" s="132"/>
      <c r="L14" s="131"/>
      <c r="M14" s="131"/>
      <c r="N14" s="132"/>
      <c r="O14" s="133"/>
    </row>
    <row r="15" spans="1:15" x14ac:dyDescent="0.2">
      <c r="G15" s="131"/>
      <c r="H15" s="132"/>
      <c r="I15" s="132"/>
      <c r="J15" s="132"/>
      <c r="K15" s="132"/>
      <c r="L15" s="131"/>
      <c r="M15" s="131"/>
      <c r="N15" s="132"/>
      <c r="O15" s="133"/>
    </row>
    <row r="16" spans="1:15" x14ac:dyDescent="0.2">
      <c r="A16" s="118" t="s">
        <v>62</v>
      </c>
      <c r="G16" s="128">
        <f>'CAC CF Smt'!G16+'AL CF Smt'!G16+'ESL CF Smt'!G16</f>
        <v>0</v>
      </c>
      <c r="H16" s="129">
        <f>'CAC CF Smt'!H16+'AL CF Smt'!H16+'ESL CF Smt'!H16</f>
        <v>0</v>
      </c>
      <c r="I16" s="129">
        <f>'CAC CF Smt'!I16+'AL CF Smt'!I16+'ESL CF Smt'!I16</f>
        <v>0</v>
      </c>
      <c r="J16" s="129">
        <f>'CAC CF Smt'!J16+'AL CF Smt'!J16+'ESL CF Smt'!J16</f>
        <v>0</v>
      </c>
      <c r="K16" s="129">
        <f>'CAC CF Smt'!K16+'AL CF Smt'!K16+'ESL CF Smt'!K16</f>
        <v>0</v>
      </c>
      <c r="L16" s="128">
        <f>'CAC CF Smt'!L16+'AL CF Smt'!L16+'ESL CF Smt'!L16</f>
        <v>0</v>
      </c>
      <c r="M16" s="128">
        <f>'CAC CF Smt'!M16+'AL CF Smt'!M16+'ESL CF Smt'!M16</f>
        <v>0</v>
      </c>
      <c r="N16" s="129">
        <f>L16-M16</f>
        <v>0</v>
      </c>
      <c r="O16" s="130">
        <f>L16-G16</f>
        <v>0</v>
      </c>
    </row>
    <row r="17" spans="1:16" x14ac:dyDescent="0.2">
      <c r="G17" s="131"/>
      <c r="H17" s="132"/>
      <c r="I17" s="132"/>
      <c r="J17" s="132"/>
      <c r="K17" s="132"/>
      <c r="L17" s="131"/>
      <c r="M17" s="131"/>
      <c r="N17" s="132"/>
      <c r="O17" s="133"/>
    </row>
    <row r="18" spans="1:16" x14ac:dyDescent="0.2">
      <c r="A18" s="118" t="s">
        <v>65</v>
      </c>
      <c r="G18" s="131"/>
      <c r="H18" s="132"/>
      <c r="I18" s="132"/>
      <c r="J18" s="132"/>
      <c r="K18" s="132"/>
      <c r="L18" s="131"/>
      <c r="M18" s="131"/>
      <c r="N18" s="132"/>
      <c r="O18" s="133"/>
    </row>
    <row r="19" spans="1:16" x14ac:dyDescent="0.2">
      <c r="B19" s="116" t="s">
        <v>26</v>
      </c>
      <c r="G19" s="131">
        <f>'CAC CF Smt'!G19+'AL CF Smt'!G19+'ESL CF Smt'!G19</f>
        <v>-18407</v>
      </c>
      <c r="H19" s="132">
        <f>'CAC CF Smt'!H19+'AL CF Smt'!H19+'ESL CF Smt'!H19</f>
        <v>-6000</v>
      </c>
      <c r="I19" s="132">
        <f>'CAC CF Smt'!I19+'AL CF Smt'!I19+'ESL CF Smt'!I19</f>
        <v>-8102</v>
      </c>
      <c r="J19" s="132">
        <f>'CAC CF Smt'!J19+'AL CF Smt'!J19+'ESL CF Smt'!J19</f>
        <v>0</v>
      </c>
      <c r="K19" s="132">
        <f>'CAC CF Smt'!K19+'AL CF Smt'!K19+'ESL CF Smt'!K19</f>
        <v>0</v>
      </c>
      <c r="L19" s="131">
        <f>'CAC CF Smt'!L19+'AL CF Smt'!L19+'ESL CF Smt'!L19</f>
        <v>-14102</v>
      </c>
      <c r="M19" s="131">
        <f>'CAC CF Smt'!M19+'AL CF Smt'!M19+'ESL CF Smt'!M19</f>
        <v>-18000</v>
      </c>
      <c r="N19" s="132">
        <f>L19-M19</f>
        <v>3898</v>
      </c>
      <c r="O19" s="133">
        <f>L19-G19</f>
        <v>4305</v>
      </c>
    </row>
    <row r="20" spans="1:16" x14ac:dyDescent="0.2">
      <c r="B20" s="116" t="s">
        <v>56</v>
      </c>
      <c r="G20" s="131">
        <f>'CAC CF Smt'!G20+'AL CF Smt'!G20+'ESL CF Smt'!G20</f>
        <v>-9305</v>
      </c>
      <c r="H20" s="132">
        <f>'CAC CF Smt'!H20+'AL CF Smt'!H20+'ESL CF Smt'!H20</f>
        <v>0</v>
      </c>
      <c r="I20" s="132">
        <f>'CAC CF Smt'!I20+'AL CF Smt'!I20+'ESL CF Smt'!I20</f>
        <v>0</v>
      </c>
      <c r="J20" s="132">
        <f>'CAC CF Smt'!J20+'AL CF Smt'!J20+'ESL CF Smt'!J20</f>
        <v>-6076</v>
      </c>
      <c r="K20" s="132">
        <f>'CAC CF Smt'!K20+'AL CF Smt'!K20+'ESL CF Smt'!K20</f>
        <v>-12500</v>
      </c>
      <c r="L20" s="131">
        <f>'CAC CF Smt'!L20+'AL CF Smt'!L20+'ESL CF Smt'!L20</f>
        <v>-18576</v>
      </c>
      <c r="M20" s="131">
        <f>'CAC CF Smt'!M20+'AL CF Smt'!M20+'ESL CF Smt'!M20</f>
        <v>-9200</v>
      </c>
      <c r="N20" s="132">
        <f>L20-M20</f>
        <v>-9376</v>
      </c>
      <c r="O20" s="133">
        <f>L20-G20</f>
        <v>-9271</v>
      </c>
    </row>
    <row r="21" spans="1:16" x14ac:dyDescent="0.2">
      <c r="B21" s="116" t="s">
        <v>57</v>
      </c>
      <c r="G21" s="131">
        <f>'CAC CF Smt'!G21+'AL CF Smt'!G21+'ESL CF Smt'!G21</f>
        <v>27712</v>
      </c>
      <c r="H21" s="132">
        <f>'CAC CF Smt'!H21+'AL CF Smt'!H21+'ESL CF Smt'!H21</f>
        <v>6000</v>
      </c>
      <c r="I21" s="132">
        <f>'CAC CF Smt'!I21+'AL CF Smt'!I21+'ESL CF Smt'!I21</f>
        <v>8102</v>
      </c>
      <c r="J21" s="132">
        <f>'CAC CF Smt'!J21+'AL CF Smt'!J21+'ESL CF Smt'!J21</f>
        <v>6076</v>
      </c>
      <c r="K21" s="132">
        <f>'CAC CF Smt'!K21+'AL CF Smt'!K21+'ESL CF Smt'!K21</f>
        <v>12500</v>
      </c>
      <c r="L21" s="131">
        <f>'CAC CF Smt'!L21+'AL CF Smt'!L21+'ESL CF Smt'!L21</f>
        <v>32678</v>
      </c>
      <c r="M21" s="131">
        <f>'CAC CF Smt'!M21+'AL CF Smt'!M21+'ESL CF Smt'!M21</f>
        <v>27300</v>
      </c>
      <c r="N21" s="132">
        <f>L21-M21</f>
        <v>5378</v>
      </c>
      <c r="O21" s="133">
        <f>L21-G21</f>
        <v>4966</v>
      </c>
    </row>
    <row r="22" spans="1:16" x14ac:dyDescent="0.2">
      <c r="G22" s="131"/>
      <c r="H22" s="132"/>
      <c r="I22" s="132"/>
      <c r="J22" s="132"/>
      <c r="K22" s="132"/>
      <c r="L22" s="131"/>
      <c r="M22" s="131"/>
      <c r="N22" s="132"/>
      <c r="O22" s="133"/>
    </row>
    <row r="23" spans="1:16" x14ac:dyDescent="0.2">
      <c r="B23" s="118" t="s">
        <v>58</v>
      </c>
      <c r="G23" s="128">
        <f>SUM(G19:G22)</f>
        <v>0</v>
      </c>
      <c r="H23" s="129">
        <f t="shared" ref="H23:M23" si="0">SUM(H19:H22)</f>
        <v>0</v>
      </c>
      <c r="I23" s="129">
        <f t="shared" si="0"/>
        <v>0</v>
      </c>
      <c r="J23" s="129">
        <f t="shared" si="0"/>
        <v>0</v>
      </c>
      <c r="K23" s="129">
        <f t="shared" si="0"/>
        <v>0</v>
      </c>
      <c r="L23" s="128">
        <f t="shared" si="0"/>
        <v>0</v>
      </c>
      <c r="M23" s="128">
        <f t="shared" si="0"/>
        <v>100</v>
      </c>
      <c r="N23" s="129">
        <f>L23-M23</f>
        <v>-100</v>
      </c>
      <c r="O23" s="130">
        <f>L23-G23</f>
        <v>0</v>
      </c>
    </row>
    <row r="24" spans="1:16" x14ac:dyDescent="0.2">
      <c r="G24" s="134"/>
      <c r="H24" s="126"/>
      <c r="I24" s="126"/>
      <c r="J24" s="126"/>
      <c r="K24" s="126"/>
      <c r="L24" s="134"/>
      <c r="M24" s="134"/>
      <c r="N24" s="126"/>
      <c r="O24" s="127"/>
    </row>
    <row r="25" spans="1:16" ht="13.2" thickBot="1" x14ac:dyDescent="0.25">
      <c r="A25" s="118" t="s">
        <v>60</v>
      </c>
      <c r="G25" s="135">
        <f t="shared" ref="G25:M25" si="1">+G7+G9+G11+G13+G16+G23</f>
        <v>354795.5601</v>
      </c>
      <c r="H25" s="136">
        <f t="shared" si="1"/>
        <v>367007.95999999996</v>
      </c>
      <c r="I25" s="136">
        <f t="shared" si="1"/>
        <v>364581.60000000003</v>
      </c>
      <c r="J25" s="136">
        <f t="shared" si="1"/>
        <v>384902.08999999997</v>
      </c>
      <c r="K25" s="136">
        <f t="shared" si="1"/>
        <v>414493.82999999996</v>
      </c>
      <c r="L25" s="135">
        <f t="shared" si="1"/>
        <v>414493.83</v>
      </c>
      <c r="M25" s="135">
        <f t="shared" si="1"/>
        <v>339713.23</v>
      </c>
      <c r="N25" s="136">
        <f>L25-M25</f>
        <v>74780.600000000035</v>
      </c>
      <c r="O25" s="137">
        <f>L25-G25</f>
        <v>59698.269900000014</v>
      </c>
    </row>
    <row r="26" spans="1:16" ht="13.2" thickTop="1" x14ac:dyDescent="0.2">
      <c r="G26" s="132"/>
      <c r="H26" s="132"/>
      <c r="I26" s="132"/>
      <c r="J26" s="132"/>
      <c r="K26" s="132"/>
      <c r="L26" s="132"/>
      <c r="M26" s="132"/>
      <c r="N26" s="132"/>
      <c r="O26" s="132"/>
    </row>
    <row r="27" spans="1:16" x14ac:dyDescent="0.2">
      <c r="G27" s="132"/>
      <c r="H27" s="132"/>
      <c r="I27" s="132"/>
      <c r="J27" s="132"/>
      <c r="K27" s="132"/>
      <c r="L27" s="132"/>
      <c r="M27" s="132"/>
      <c r="N27" s="132"/>
      <c r="O27" s="132"/>
    </row>
    <row r="28" spans="1:16" x14ac:dyDescent="0.2">
      <c r="A28" s="116" t="s">
        <v>69</v>
      </c>
      <c r="G28" s="126"/>
      <c r="H28" s="126"/>
      <c r="I28" s="126"/>
      <c r="J28" s="126"/>
      <c r="K28" s="126"/>
      <c r="L28" s="126"/>
      <c r="M28" s="126"/>
      <c r="N28" s="126"/>
      <c r="O28" s="126"/>
    </row>
    <row r="29" spans="1:16" x14ac:dyDescent="0.2">
      <c r="B29" s="116" t="s">
        <v>70</v>
      </c>
      <c r="G29" s="132">
        <f>+'Consol Bal Sheet'!G31</f>
        <v>354795.38</v>
      </c>
      <c r="H29" s="132">
        <f>+'Consol Bal Sheet'!H31</f>
        <v>367007.54</v>
      </c>
      <c r="I29" s="132">
        <f>+'Consol Bal Sheet'!I31</f>
        <v>364580.88</v>
      </c>
      <c r="J29" s="132">
        <f>+'Consol Bal Sheet'!J31</f>
        <v>384901.37</v>
      </c>
      <c r="K29" s="132">
        <f>+'Consol Bal Sheet'!K31</f>
        <v>414493.11</v>
      </c>
      <c r="L29" s="132">
        <f>+'Consol Bal Sheet'!K31</f>
        <v>414493.11</v>
      </c>
      <c r="M29" s="132">
        <f>+'Consol Bal Sheet'!L31</f>
        <v>339613</v>
      </c>
      <c r="N29" s="132"/>
      <c r="O29" s="132"/>
    </row>
    <row r="30" spans="1:16" ht="13.2" thickBot="1" x14ac:dyDescent="0.25">
      <c r="B30" s="116" t="s">
        <v>71</v>
      </c>
      <c r="G30" s="138">
        <f t="shared" ref="G30:L30" si="2">IF(ABS(+G25-G29)&lt;1,0,G25-G29)</f>
        <v>0</v>
      </c>
      <c r="H30" s="138">
        <f t="shared" si="2"/>
        <v>0</v>
      </c>
      <c r="I30" s="138">
        <f t="shared" si="2"/>
        <v>0</v>
      </c>
      <c r="J30" s="138">
        <f t="shared" si="2"/>
        <v>0</v>
      </c>
      <c r="K30" s="138">
        <f t="shared" si="2"/>
        <v>0</v>
      </c>
      <c r="L30" s="138">
        <f t="shared" si="2"/>
        <v>0</v>
      </c>
      <c r="M30" s="138">
        <f>+M25-M29</f>
        <v>100.22999999998137</v>
      </c>
      <c r="N30" s="126"/>
      <c r="O30" s="126"/>
      <c r="P30" s="126"/>
    </row>
    <row r="31" spans="1:16" ht="13.2" thickTop="1" x14ac:dyDescent="0.2"/>
  </sheetData>
  <sheetProtection algorithmName="SHA-512" hashValue="FqAyUJ1Vfevtzav+7KFbNJxg6DivF9hqsiVZ/9Yu0h929O4/JoLy1eNgep9Izx6CJCBDR8MEnwIIM2KcfbUqCw==" saltValue="OTp6TsvTgDzlr+yVL+dOqA==" spinCount="100000" sheet="1" objects="1" scenarios="1"/>
  <phoneticPr fontId="4" type="noConversion"/>
  <pageMargins left="0.75" right="0.75" top="1" bottom="1" header="0.5" footer="0.5"/>
  <pageSetup scale="73" orientation="landscape" horizontalDpi="4294967292" verticalDpi="4294967292" r:id="rId1"/>
  <headerFooter alignWithMargins="0">
    <oddFooter>&amp;L&amp;F&amp;C&amp;D&amp;R&amp;A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9"/>
    <pageSetUpPr fitToPage="1"/>
  </sheetPr>
  <dimension ref="A1:U175"/>
  <sheetViews>
    <sheetView zoomScale="96" zoomScaleNormal="96" workbookViewId="0">
      <pane xSplit="5" ySplit="6" topLeftCell="F7" activePane="bottomRight" state="frozen"/>
      <selection activeCell="E96" sqref="E95:E96"/>
      <selection pane="topRight" activeCell="E96" sqref="E95:E96"/>
      <selection pane="bottomLeft" activeCell="E96" sqref="E95:E96"/>
      <selection pane="bottomRight" activeCell="F7" sqref="F7"/>
    </sheetView>
  </sheetViews>
  <sheetFormatPr defaultColWidth="11.08984375" defaultRowHeight="12.6" outlineLevelRow="1" outlineLevelCol="1" x14ac:dyDescent="0.2"/>
  <cols>
    <col min="1" max="1" width="4.08984375" style="116" customWidth="1"/>
    <col min="2" max="2" width="4.7265625" style="116" customWidth="1"/>
    <col min="3" max="3" width="9.6328125" style="116" customWidth="1"/>
    <col min="4" max="4" width="4.08984375" style="116" customWidth="1"/>
    <col min="5" max="5" width="9.26953125" style="116" customWidth="1"/>
    <col min="6" max="6" width="7.7265625" style="116" customWidth="1"/>
    <col min="7" max="7" width="11.90625" style="116" customWidth="1"/>
    <col min="8" max="9" width="11.90625" hidden="1" customWidth="1" outlineLevel="1"/>
    <col min="10" max="10" width="12.6328125" hidden="1" customWidth="1" outlineLevel="1"/>
    <col min="11" max="11" width="11.90625" hidden="1" customWidth="1" outlineLevel="1"/>
    <col min="12" max="12" width="11.08984375" style="116" customWidth="1" collapsed="1"/>
    <col min="13" max="13" width="11.7265625" style="116" bestFit="1" customWidth="1"/>
    <col min="14" max="14" width="12.36328125" style="116" customWidth="1"/>
    <col min="15" max="15" width="11.08984375" style="116"/>
    <col min="16" max="16" width="12.7265625" style="116" customWidth="1"/>
    <col min="17" max="17" width="12" style="116" customWidth="1"/>
    <col min="18" max="18" width="11.08984375" style="116"/>
    <col min="19" max="19" width="10.08984375" style="116" customWidth="1"/>
    <col min="20" max="16384" width="11.08984375" style="116"/>
  </cols>
  <sheetData>
    <row r="1" spans="1:21" ht="16.2" x14ac:dyDescent="0.3">
      <c r="A1" s="115" t="s">
        <v>188</v>
      </c>
    </row>
    <row r="2" spans="1:21" x14ac:dyDescent="0.2">
      <c r="A2" s="117" t="s">
        <v>80</v>
      </c>
    </row>
    <row r="3" spans="1:21" ht="15" thickBot="1" x14ac:dyDescent="0.35">
      <c r="A3" s="118" t="s">
        <v>127</v>
      </c>
      <c r="E3" s="139"/>
    </row>
    <row r="4" spans="1:21" ht="13.2" thickBot="1" x14ac:dyDescent="0.25">
      <c r="A4" s="118" t="s">
        <v>34</v>
      </c>
      <c r="D4" s="119">
        <v>4</v>
      </c>
    </row>
    <row r="5" spans="1:21" customFormat="1" x14ac:dyDescent="0.2">
      <c r="A5" s="1"/>
      <c r="F5" s="10" t="s">
        <v>212</v>
      </c>
      <c r="G5" s="28" t="s">
        <v>263</v>
      </c>
      <c r="H5" s="8" t="s">
        <v>128</v>
      </c>
      <c r="I5" s="6" t="s">
        <v>128</v>
      </c>
      <c r="J5" s="6" t="s">
        <v>128</v>
      </c>
      <c r="K5" s="237" t="s">
        <v>128</v>
      </c>
      <c r="L5" s="4" t="s">
        <v>134</v>
      </c>
      <c r="M5" s="5" t="s">
        <v>134</v>
      </c>
      <c r="N5" s="5" t="s">
        <v>134</v>
      </c>
      <c r="O5" s="5" t="s">
        <v>134</v>
      </c>
      <c r="P5" s="26" t="s">
        <v>29</v>
      </c>
      <c r="Q5" s="238" t="s">
        <v>439</v>
      </c>
      <c r="R5" s="24" t="s">
        <v>135</v>
      </c>
      <c r="S5" s="140" t="s">
        <v>135</v>
      </c>
      <c r="T5" s="141" t="s">
        <v>136</v>
      </c>
      <c r="U5" s="142" t="s">
        <v>265</v>
      </c>
    </row>
    <row r="6" spans="1:21" customFormat="1" x14ac:dyDescent="0.2">
      <c r="F6" s="11" t="s">
        <v>213</v>
      </c>
      <c r="G6" s="29" t="s">
        <v>426</v>
      </c>
      <c r="H6" s="69">
        <v>41089</v>
      </c>
      <c r="I6" s="70">
        <v>41181</v>
      </c>
      <c r="J6" s="70">
        <v>41273</v>
      </c>
      <c r="K6" s="239">
        <v>41363</v>
      </c>
      <c r="L6" s="69">
        <v>41089</v>
      </c>
      <c r="M6" s="70">
        <v>41181</v>
      </c>
      <c r="N6" s="70">
        <v>41273</v>
      </c>
      <c r="O6" s="70">
        <v>41363</v>
      </c>
      <c r="P6" s="75" t="s">
        <v>438</v>
      </c>
      <c r="Q6" s="240" t="s">
        <v>438</v>
      </c>
      <c r="R6" s="25" t="s">
        <v>16</v>
      </c>
      <c r="S6" s="143" t="s">
        <v>17</v>
      </c>
      <c r="T6" s="144" t="s">
        <v>18</v>
      </c>
      <c r="U6" s="145" t="s">
        <v>108</v>
      </c>
    </row>
    <row r="7" spans="1:21" x14ac:dyDescent="0.2">
      <c r="A7" s="118" t="s">
        <v>189</v>
      </c>
      <c r="B7" s="118"/>
      <c r="F7" s="146"/>
      <c r="G7" s="147"/>
      <c r="H7" s="83"/>
      <c r="I7" s="83"/>
      <c r="J7" s="83"/>
      <c r="K7" s="15"/>
      <c r="L7" s="149"/>
      <c r="M7" s="148"/>
      <c r="N7" s="148"/>
      <c r="O7" s="148"/>
      <c r="P7" s="150"/>
      <c r="Q7" s="151"/>
      <c r="R7" s="152"/>
      <c r="S7" s="153"/>
      <c r="T7" s="154"/>
      <c r="U7" s="155"/>
    </row>
    <row r="8" spans="1:21" x14ac:dyDescent="0.2">
      <c r="A8" s="118"/>
      <c r="B8" s="118" t="s">
        <v>3</v>
      </c>
      <c r="F8" s="156"/>
      <c r="G8" s="157">
        <f t="shared" ref="G8:R8" si="0">SUM(G9:G18)</f>
        <v>0</v>
      </c>
      <c r="H8" s="84">
        <f t="shared" si="0"/>
        <v>0</v>
      </c>
      <c r="I8" s="84">
        <f t="shared" si="0"/>
        <v>0</v>
      </c>
      <c r="J8" s="84">
        <f t="shared" si="0"/>
        <v>0</v>
      </c>
      <c r="K8" s="241">
        <f t="shared" si="0"/>
        <v>0</v>
      </c>
      <c r="L8" s="159">
        <f t="shared" si="0"/>
        <v>0</v>
      </c>
      <c r="M8" s="158">
        <f t="shared" si="0"/>
        <v>0</v>
      </c>
      <c r="N8" s="158">
        <f t="shared" si="0"/>
        <v>0</v>
      </c>
      <c r="O8" s="158">
        <f t="shared" si="0"/>
        <v>0</v>
      </c>
      <c r="P8" s="160">
        <f t="shared" si="0"/>
        <v>0</v>
      </c>
      <c r="Q8" s="161">
        <f t="shared" si="0"/>
        <v>0</v>
      </c>
      <c r="R8" s="162">
        <f t="shared" si="0"/>
        <v>0</v>
      </c>
      <c r="S8" s="163" t="str">
        <f t="shared" ref="S8:S16" si="1">IF(Q8=0,"",P8/Q8)</f>
        <v/>
      </c>
      <c r="T8" s="164">
        <f>SUM(T9:T18)</f>
        <v>0</v>
      </c>
      <c r="U8" s="165" t="str">
        <f t="shared" ref="U8:U17" si="2">IF(G8=0,"",P8/G8)</f>
        <v/>
      </c>
    </row>
    <row r="9" spans="1:21" hidden="1" outlineLevel="1" x14ac:dyDescent="0.2">
      <c r="C9" s="116" t="s">
        <v>106</v>
      </c>
      <c r="F9" s="156"/>
      <c r="G9" s="166"/>
      <c r="H9" s="83"/>
      <c r="I9" s="83"/>
      <c r="J9" s="83"/>
      <c r="K9" s="15"/>
      <c r="L9" s="167">
        <f t="shared" ref="L9:L17" si="3">+H9</f>
        <v>0</v>
      </c>
      <c r="M9" s="148">
        <f t="shared" ref="M9:M17" si="4">IF(I9=0,0,I9-H9)</f>
        <v>0</v>
      </c>
      <c r="N9" s="148">
        <f t="shared" ref="N9:N17" si="5">IF(J9=0,0,J9-I9)</f>
        <v>0</v>
      </c>
      <c r="O9" s="148">
        <f t="shared" ref="O9:O17" si="6">IF(K9=0,0,K9-J9)</f>
        <v>0</v>
      </c>
      <c r="P9" s="150">
        <f t="shared" ref="P9:P17" si="7">SUM(L9:O9)</f>
        <v>0</v>
      </c>
      <c r="Q9" s="151"/>
      <c r="R9" s="152">
        <f>P9-Q9</f>
        <v>0</v>
      </c>
      <c r="S9" s="168" t="str">
        <f t="shared" si="1"/>
        <v/>
      </c>
      <c r="T9" s="154">
        <f t="shared" ref="T9:T17" si="8">P9-G9</f>
        <v>0</v>
      </c>
      <c r="U9" s="169" t="str">
        <f t="shared" si="2"/>
        <v/>
      </c>
    </row>
    <row r="10" spans="1:21" hidden="1" outlineLevel="1" x14ac:dyDescent="0.2">
      <c r="C10" s="116" t="s">
        <v>107</v>
      </c>
      <c r="F10" s="156" t="s">
        <v>198</v>
      </c>
      <c r="G10" s="166"/>
      <c r="H10" s="83"/>
      <c r="I10" s="83"/>
      <c r="J10" s="83"/>
      <c r="K10" s="15"/>
      <c r="L10" s="167">
        <f t="shared" si="3"/>
        <v>0</v>
      </c>
      <c r="M10" s="148">
        <f t="shared" si="4"/>
        <v>0</v>
      </c>
      <c r="N10" s="148">
        <f t="shared" si="5"/>
        <v>0</v>
      </c>
      <c r="O10" s="148">
        <f t="shared" si="6"/>
        <v>0</v>
      </c>
      <c r="P10" s="150">
        <f t="shared" si="7"/>
        <v>0</v>
      </c>
      <c r="Q10" s="151"/>
      <c r="R10" s="152">
        <f t="shared" ref="R10:R17" si="9">P10-Q10</f>
        <v>0</v>
      </c>
      <c r="S10" s="168" t="str">
        <f t="shared" si="1"/>
        <v/>
      </c>
      <c r="T10" s="154">
        <f t="shared" si="8"/>
        <v>0</v>
      </c>
      <c r="U10" s="169" t="str">
        <f t="shared" si="2"/>
        <v/>
      </c>
    </row>
    <row r="11" spans="1:21" hidden="1" outlineLevel="1" x14ac:dyDescent="0.2">
      <c r="C11" s="116" t="s">
        <v>254</v>
      </c>
      <c r="F11" s="156"/>
      <c r="G11" s="166"/>
      <c r="H11" s="83"/>
      <c r="I11" s="83"/>
      <c r="J11" s="83"/>
      <c r="K11" s="15"/>
      <c r="L11" s="167">
        <f t="shared" si="3"/>
        <v>0</v>
      </c>
      <c r="M11" s="148">
        <f t="shared" si="4"/>
        <v>0</v>
      </c>
      <c r="N11" s="148">
        <f t="shared" si="5"/>
        <v>0</v>
      </c>
      <c r="O11" s="148">
        <f t="shared" si="6"/>
        <v>0</v>
      </c>
      <c r="P11" s="150">
        <f t="shared" si="7"/>
        <v>0</v>
      </c>
      <c r="Q11" s="151"/>
      <c r="R11" s="152">
        <f t="shared" si="9"/>
        <v>0</v>
      </c>
      <c r="S11" s="168" t="str">
        <f t="shared" si="1"/>
        <v/>
      </c>
      <c r="T11" s="154">
        <f t="shared" si="8"/>
        <v>0</v>
      </c>
      <c r="U11" s="169" t="str">
        <f t="shared" si="2"/>
        <v/>
      </c>
    </row>
    <row r="12" spans="1:21" hidden="1" outlineLevel="1" x14ac:dyDescent="0.2">
      <c r="C12" s="116" t="s">
        <v>252</v>
      </c>
      <c r="F12" s="156"/>
      <c r="G12" s="166"/>
      <c r="H12" s="83"/>
      <c r="I12" s="83"/>
      <c r="J12" s="83"/>
      <c r="K12" s="15"/>
      <c r="L12" s="167">
        <f t="shared" si="3"/>
        <v>0</v>
      </c>
      <c r="M12" s="148">
        <f t="shared" si="4"/>
        <v>0</v>
      </c>
      <c r="N12" s="148">
        <f t="shared" si="5"/>
        <v>0</v>
      </c>
      <c r="O12" s="148">
        <f t="shared" si="6"/>
        <v>0</v>
      </c>
      <c r="P12" s="150">
        <f t="shared" si="7"/>
        <v>0</v>
      </c>
      <c r="Q12" s="151"/>
      <c r="R12" s="152">
        <f t="shared" si="9"/>
        <v>0</v>
      </c>
      <c r="S12" s="168" t="str">
        <f t="shared" si="1"/>
        <v/>
      </c>
      <c r="T12" s="154">
        <f t="shared" si="8"/>
        <v>0</v>
      </c>
      <c r="U12" s="169" t="str">
        <f t="shared" si="2"/>
        <v/>
      </c>
    </row>
    <row r="13" spans="1:21" hidden="1" outlineLevel="1" x14ac:dyDescent="0.2">
      <c r="C13" s="116" t="s">
        <v>253</v>
      </c>
      <c r="F13" s="156"/>
      <c r="G13" s="166"/>
      <c r="H13" s="83"/>
      <c r="I13" s="83"/>
      <c r="J13" s="83"/>
      <c r="K13" s="15"/>
      <c r="L13" s="167">
        <f t="shared" si="3"/>
        <v>0</v>
      </c>
      <c r="M13" s="148">
        <f t="shared" si="4"/>
        <v>0</v>
      </c>
      <c r="N13" s="148">
        <f t="shared" si="5"/>
        <v>0</v>
      </c>
      <c r="O13" s="148">
        <f t="shared" si="6"/>
        <v>0</v>
      </c>
      <c r="P13" s="150">
        <f t="shared" si="7"/>
        <v>0</v>
      </c>
      <c r="Q13" s="151"/>
      <c r="R13" s="152">
        <f t="shared" si="9"/>
        <v>0</v>
      </c>
      <c r="S13" s="168" t="str">
        <f t="shared" si="1"/>
        <v/>
      </c>
      <c r="T13" s="154">
        <f t="shared" si="8"/>
        <v>0</v>
      </c>
      <c r="U13" s="169" t="str">
        <f t="shared" si="2"/>
        <v/>
      </c>
    </row>
    <row r="14" spans="1:21" hidden="1" outlineLevel="1" x14ac:dyDescent="0.2">
      <c r="C14" s="116" t="s">
        <v>0</v>
      </c>
      <c r="F14" s="156">
        <v>5490</v>
      </c>
      <c r="G14" s="166"/>
      <c r="H14" s="83"/>
      <c r="I14" s="83"/>
      <c r="J14" s="83"/>
      <c r="K14" s="15"/>
      <c r="L14" s="167">
        <f t="shared" si="3"/>
        <v>0</v>
      </c>
      <c r="M14" s="148">
        <f t="shared" si="4"/>
        <v>0</v>
      </c>
      <c r="N14" s="148">
        <f t="shared" si="5"/>
        <v>0</v>
      </c>
      <c r="O14" s="148">
        <f t="shared" si="6"/>
        <v>0</v>
      </c>
      <c r="P14" s="150">
        <f t="shared" si="7"/>
        <v>0</v>
      </c>
      <c r="Q14" s="151"/>
      <c r="R14" s="152">
        <f t="shared" si="9"/>
        <v>0</v>
      </c>
      <c r="S14" s="168" t="str">
        <f t="shared" si="1"/>
        <v/>
      </c>
      <c r="T14" s="154">
        <f t="shared" si="8"/>
        <v>0</v>
      </c>
      <c r="U14" s="169" t="str">
        <f t="shared" si="2"/>
        <v/>
      </c>
    </row>
    <row r="15" spans="1:21" hidden="1" outlineLevel="1" x14ac:dyDescent="0.2">
      <c r="C15" s="242" t="s">
        <v>415</v>
      </c>
      <c r="F15" s="156"/>
      <c r="G15" s="166"/>
      <c r="H15" s="83"/>
      <c r="I15" s="83"/>
      <c r="J15" s="83"/>
      <c r="K15" s="15"/>
      <c r="L15" s="167">
        <f t="shared" si="3"/>
        <v>0</v>
      </c>
      <c r="M15" s="148">
        <f t="shared" si="4"/>
        <v>0</v>
      </c>
      <c r="N15" s="148">
        <f t="shared" si="5"/>
        <v>0</v>
      </c>
      <c r="O15" s="148">
        <f t="shared" si="6"/>
        <v>0</v>
      </c>
      <c r="P15" s="150">
        <f t="shared" si="7"/>
        <v>0</v>
      </c>
      <c r="Q15" s="151"/>
      <c r="R15" s="152">
        <f t="shared" si="9"/>
        <v>0</v>
      </c>
      <c r="S15" s="168" t="str">
        <f t="shared" si="1"/>
        <v/>
      </c>
      <c r="T15" s="154">
        <f t="shared" si="8"/>
        <v>0</v>
      </c>
      <c r="U15" s="169" t="str">
        <f t="shared" si="2"/>
        <v/>
      </c>
    </row>
    <row r="16" spans="1:21" hidden="1" outlineLevel="1" x14ac:dyDescent="0.2">
      <c r="F16" s="156"/>
      <c r="G16" s="166"/>
      <c r="H16" s="83"/>
      <c r="I16" s="83"/>
      <c r="J16" s="83"/>
      <c r="K16" s="15"/>
      <c r="L16" s="167">
        <f t="shared" si="3"/>
        <v>0</v>
      </c>
      <c r="M16" s="148">
        <f t="shared" si="4"/>
        <v>0</v>
      </c>
      <c r="N16" s="148">
        <f t="shared" si="5"/>
        <v>0</v>
      </c>
      <c r="O16" s="148">
        <f t="shared" si="6"/>
        <v>0</v>
      </c>
      <c r="P16" s="150">
        <f t="shared" si="7"/>
        <v>0</v>
      </c>
      <c r="Q16" s="151"/>
      <c r="R16" s="152">
        <f t="shared" si="9"/>
        <v>0</v>
      </c>
      <c r="S16" s="168" t="str">
        <f t="shared" si="1"/>
        <v/>
      </c>
      <c r="T16" s="154">
        <f t="shared" si="8"/>
        <v>0</v>
      </c>
      <c r="U16" s="169" t="str">
        <f t="shared" si="2"/>
        <v/>
      </c>
    </row>
    <row r="17" spans="2:21" hidden="1" outlineLevel="1" x14ac:dyDescent="0.2">
      <c r="F17" s="156"/>
      <c r="G17" s="166"/>
      <c r="H17" s="83"/>
      <c r="I17" s="83"/>
      <c r="J17" s="83"/>
      <c r="K17" s="15"/>
      <c r="L17" s="167">
        <f t="shared" si="3"/>
        <v>0</v>
      </c>
      <c r="M17" s="148">
        <f t="shared" si="4"/>
        <v>0</v>
      </c>
      <c r="N17" s="148">
        <f t="shared" si="5"/>
        <v>0</v>
      </c>
      <c r="O17" s="148">
        <f t="shared" si="6"/>
        <v>0</v>
      </c>
      <c r="P17" s="150">
        <f t="shared" si="7"/>
        <v>0</v>
      </c>
      <c r="Q17" s="151"/>
      <c r="R17" s="152">
        <f t="shared" si="9"/>
        <v>0</v>
      </c>
      <c r="S17" s="153"/>
      <c r="T17" s="154">
        <f t="shared" si="8"/>
        <v>0</v>
      </c>
      <c r="U17" s="170" t="str">
        <f t="shared" si="2"/>
        <v/>
      </c>
    </row>
    <row r="18" spans="2:21" hidden="1" outlineLevel="1" x14ac:dyDescent="0.2">
      <c r="F18" s="156"/>
      <c r="G18" s="166"/>
      <c r="H18" s="83"/>
      <c r="I18" s="83"/>
      <c r="J18" s="83"/>
      <c r="K18" s="15"/>
      <c r="L18" s="167"/>
      <c r="M18" s="148"/>
      <c r="N18" s="148"/>
      <c r="O18" s="148"/>
      <c r="P18" s="150"/>
      <c r="Q18" s="151"/>
      <c r="R18" s="152"/>
      <c r="S18" s="153"/>
      <c r="T18" s="154"/>
      <c r="U18" s="155"/>
    </row>
    <row r="19" spans="2:21" hidden="1" outlineLevel="1" x14ac:dyDescent="0.2">
      <c r="F19" s="156"/>
      <c r="G19" s="166"/>
      <c r="H19" s="83"/>
      <c r="I19" s="83"/>
      <c r="J19" s="83"/>
      <c r="K19" s="15"/>
      <c r="L19" s="167"/>
      <c r="M19" s="148"/>
      <c r="N19" s="148"/>
      <c r="O19" s="148"/>
      <c r="P19" s="150"/>
      <c r="Q19" s="151"/>
      <c r="R19" s="152"/>
      <c r="S19" s="153"/>
      <c r="T19" s="154"/>
      <c r="U19" s="155"/>
    </row>
    <row r="20" spans="2:21" collapsed="1" x14ac:dyDescent="0.2">
      <c r="B20" s="118" t="s">
        <v>4</v>
      </c>
      <c r="F20" s="156"/>
      <c r="G20" s="157">
        <f t="shared" ref="G20:R20" si="10">SUM(G21:G32)</f>
        <v>0</v>
      </c>
      <c r="H20" s="84">
        <f t="shared" si="10"/>
        <v>0</v>
      </c>
      <c r="I20" s="84">
        <f t="shared" si="10"/>
        <v>0</v>
      </c>
      <c r="J20" s="84">
        <f t="shared" si="10"/>
        <v>0</v>
      </c>
      <c r="K20" s="241">
        <f t="shared" si="10"/>
        <v>0</v>
      </c>
      <c r="L20" s="159">
        <f t="shared" si="10"/>
        <v>0</v>
      </c>
      <c r="M20" s="158">
        <f t="shared" si="10"/>
        <v>0</v>
      </c>
      <c r="N20" s="158">
        <f t="shared" si="10"/>
        <v>0</v>
      </c>
      <c r="O20" s="158">
        <f t="shared" si="10"/>
        <v>0</v>
      </c>
      <c r="P20" s="160">
        <f t="shared" si="10"/>
        <v>0</v>
      </c>
      <c r="Q20" s="161">
        <f t="shared" si="10"/>
        <v>0</v>
      </c>
      <c r="R20" s="162">
        <f t="shared" si="10"/>
        <v>0</v>
      </c>
      <c r="S20" s="163" t="str">
        <f t="shared" ref="S20:S31" si="11">IF(Q20=0,"",P20/Q20)</f>
        <v/>
      </c>
      <c r="T20" s="164">
        <f>SUM(T21:T32)</f>
        <v>0</v>
      </c>
      <c r="U20" s="165" t="str">
        <f t="shared" ref="U20:U28" si="12">IF(G20=0,"",P20/G20)</f>
        <v/>
      </c>
    </row>
    <row r="21" spans="2:21" hidden="1" outlineLevel="1" x14ac:dyDescent="0.2">
      <c r="C21" s="116" t="s">
        <v>257</v>
      </c>
      <c r="F21" s="156">
        <v>5182</v>
      </c>
      <c r="G21" s="166"/>
      <c r="H21" s="83"/>
      <c r="I21" s="83"/>
      <c r="J21" s="83"/>
      <c r="K21" s="15"/>
      <c r="L21" s="167">
        <f>+H21</f>
        <v>0</v>
      </c>
      <c r="M21" s="148">
        <f>IF(I21=0,0,I21-H21)</f>
        <v>0</v>
      </c>
      <c r="N21" s="148">
        <f>IF(J21=0,0,J21-I21)</f>
        <v>0</v>
      </c>
      <c r="O21" s="148">
        <f>IF(K21=0,0,K21-J21)</f>
        <v>0</v>
      </c>
      <c r="P21" s="150">
        <f t="shared" ref="P21:P30" si="13">SUM(L21:O21)</f>
        <v>0</v>
      </c>
      <c r="Q21" s="151"/>
      <c r="R21" s="152">
        <f t="shared" ref="R21:R31" si="14">P21-Q21</f>
        <v>0</v>
      </c>
      <c r="S21" s="168" t="str">
        <f t="shared" si="11"/>
        <v/>
      </c>
      <c r="T21" s="154">
        <f t="shared" ref="T21:T31" si="15">P21-G21</f>
        <v>0</v>
      </c>
      <c r="U21" s="169" t="str">
        <f t="shared" si="12"/>
        <v/>
      </c>
    </row>
    <row r="22" spans="2:21" hidden="1" outlineLevel="1" x14ac:dyDescent="0.2">
      <c r="C22" s="116" t="s">
        <v>256</v>
      </c>
      <c r="F22" s="156">
        <v>5181</v>
      </c>
      <c r="G22" s="166"/>
      <c r="H22" s="83"/>
      <c r="I22" s="83"/>
      <c r="J22" s="83"/>
      <c r="K22" s="15"/>
      <c r="L22" s="167">
        <f t="shared" ref="L22:L30" si="16">+H22</f>
        <v>0</v>
      </c>
      <c r="M22" s="148">
        <f t="shared" ref="M22:M30" si="17">IF(I22=0,0,I22-H22)</f>
        <v>0</v>
      </c>
      <c r="N22" s="148">
        <f t="shared" ref="N22:N30" si="18">IF(J22=0,0,J22-I22)</f>
        <v>0</v>
      </c>
      <c r="O22" s="148">
        <f t="shared" ref="O22:O30" si="19">IF(K22=0,0,K22-J22)</f>
        <v>0</v>
      </c>
      <c r="P22" s="150">
        <f t="shared" si="13"/>
        <v>0</v>
      </c>
      <c r="Q22" s="151"/>
      <c r="R22" s="152">
        <f t="shared" si="14"/>
        <v>0</v>
      </c>
      <c r="S22" s="168" t="str">
        <f t="shared" si="11"/>
        <v/>
      </c>
      <c r="T22" s="154">
        <f t="shared" si="15"/>
        <v>0</v>
      </c>
      <c r="U22" s="169" t="str">
        <f t="shared" si="12"/>
        <v/>
      </c>
    </row>
    <row r="23" spans="2:21" hidden="1" outlineLevel="1" x14ac:dyDescent="0.2">
      <c r="C23" s="116" t="s">
        <v>258</v>
      </c>
      <c r="F23" s="156" t="s">
        <v>131</v>
      </c>
      <c r="G23" s="166"/>
      <c r="H23" s="83"/>
      <c r="I23" s="83"/>
      <c r="J23" s="83"/>
      <c r="K23" s="15"/>
      <c r="L23" s="167">
        <f t="shared" si="16"/>
        <v>0</v>
      </c>
      <c r="M23" s="148">
        <f t="shared" si="17"/>
        <v>0</v>
      </c>
      <c r="N23" s="148">
        <f t="shared" si="18"/>
        <v>0</v>
      </c>
      <c r="O23" s="148">
        <f t="shared" si="19"/>
        <v>0</v>
      </c>
      <c r="P23" s="150">
        <f t="shared" si="13"/>
        <v>0</v>
      </c>
      <c r="Q23" s="151"/>
      <c r="R23" s="152">
        <f t="shared" si="14"/>
        <v>0</v>
      </c>
      <c r="S23" s="168" t="str">
        <f t="shared" si="11"/>
        <v/>
      </c>
      <c r="T23" s="154">
        <f t="shared" si="15"/>
        <v>0</v>
      </c>
      <c r="U23" s="169" t="str">
        <f t="shared" si="12"/>
        <v/>
      </c>
    </row>
    <row r="24" spans="2:21" hidden="1" outlineLevel="1" x14ac:dyDescent="0.2">
      <c r="C24" s="116" t="s">
        <v>72</v>
      </c>
      <c r="F24" s="156" t="s">
        <v>132</v>
      </c>
      <c r="G24" s="166"/>
      <c r="H24" s="83"/>
      <c r="I24" s="83"/>
      <c r="J24" s="83"/>
      <c r="K24" s="15"/>
      <c r="L24" s="167">
        <f t="shared" si="16"/>
        <v>0</v>
      </c>
      <c r="M24" s="148">
        <f t="shared" si="17"/>
        <v>0</v>
      </c>
      <c r="N24" s="148">
        <f t="shared" si="18"/>
        <v>0</v>
      </c>
      <c r="O24" s="148">
        <f t="shared" si="19"/>
        <v>0</v>
      </c>
      <c r="P24" s="150">
        <f t="shared" si="13"/>
        <v>0</v>
      </c>
      <c r="Q24" s="151"/>
      <c r="R24" s="152">
        <f t="shared" si="14"/>
        <v>0</v>
      </c>
      <c r="S24" s="168" t="str">
        <f t="shared" si="11"/>
        <v/>
      </c>
      <c r="T24" s="154">
        <f t="shared" si="15"/>
        <v>0</v>
      </c>
      <c r="U24" s="169" t="str">
        <f t="shared" si="12"/>
        <v/>
      </c>
    </row>
    <row r="25" spans="2:21" hidden="1" outlineLevel="1" x14ac:dyDescent="0.2">
      <c r="C25" s="116" t="s">
        <v>264</v>
      </c>
      <c r="F25" s="156" t="s">
        <v>133</v>
      </c>
      <c r="G25" s="166"/>
      <c r="H25" s="83"/>
      <c r="I25" s="83"/>
      <c r="J25" s="83"/>
      <c r="K25" s="15"/>
      <c r="L25" s="167">
        <f t="shared" si="16"/>
        <v>0</v>
      </c>
      <c r="M25" s="148">
        <f t="shared" si="17"/>
        <v>0</v>
      </c>
      <c r="N25" s="148">
        <f t="shared" si="18"/>
        <v>0</v>
      </c>
      <c r="O25" s="148">
        <f t="shared" si="19"/>
        <v>0</v>
      </c>
      <c r="P25" s="150">
        <f t="shared" si="13"/>
        <v>0</v>
      </c>
      <c r="Q25" s="151"/>
      <c r="R25" s="152">
        <f t="shared" si="14"/>
        <v>0</v>
      </c>
      <c r="S25" s="168" t="str">
        <f t="shared" si="11"/>
        <v/>
      </c>
      <c r="T25" s="154">
        <f t="shared" si="15"/>
        <v>0</v>
      </c>
      <c r="U25" s="169" t="str">
        <f t="shared" si="12"/>
        <v/>
      </c>
    </row>
    <row r="26" spans="2:21" hidden="1" outlineLevel="1" x14ac:dyDescent="0.2">
      <c r="C26" s="116" t="s">
        <v>122</v>
      </c>
      <c r="F26" s="156" t="s">
        <v>130</v>
      </c>
      <c r="G26" s="166"/>
      <c r="H26" s="83"/>
      <c r="I26" s="83"/>
      <c r="J26" s="83"/>
      <c r="K26" s="15"/>
      <c r="L26" s="167">
        <f t="shared" si="16"/>
        <v>0</v>
      </c>
      <c r="M26" s="148">
        <f t="shared" si="17"/>
        <v>0</v>
      </c>
      <c r="N26" s="148">
        <f t="shared" si="18"/>
        <v>0</v>
      </c>
      <c r="O26" s="148">
        <f t="shared" si="19"/>
        <v>0</v>
      </c>
      <c r="P26" s="150">
        <f t="shared" si="13"/>
        <v>0</v>
      </c>
      <c r="Q26" s="151"/>
      <c r="R26" s="152">
        <f t="shared" si="14"/>
        <v>0</v>
      </c>
      <c r="S26" s="168" t="str">
        <f t="shared" si="11"/>
        <v/>
      </c>
      <c r="T26" s="154">
        <f t="shared" si="15"/>
        <v>0</v>
      </c>
      <c r="U26" s="169" t="str">
        <f t="shared" si="12"/>
        <v/>
      </c>
    </row>
    <row r="27" spans="2:21" hidden="1" outlineLevel="1" x14ac:dyDescent="0.2">
      <c r="C27" s="116" t="s">
        <v>123</v>
      </c>
      <c r="F27" s="156" t="s">
        <v>7</v>
      </c>
      <c r="G27" s="166"/>
      <c r="H27" s="83"/>
      <c r="I27" s="83"/>
      <c r="J27" s="83"/>
      <c r="K27" s="15"/>
      <c r="L27" s="167">
        <f t="shared" si="16"/>
        <v>0</v>
      </c>
      <c r="M27" s="148">
        <f t="shared" si="17"/>
        <v>0</v>
      </c>
      <c r="N27" s="148">
        <f t="shared" si="18"/>
        <v>0</v>
      </c>
      <c r="O27" s="148">
        <f t="shared" si="19"/>
        <v>0</v>
      </c>
      <c r="P27" s="150">
        <f t="shared" si="13"/>
        <v>0</v>
      </c>
      <c r="Q27" s="151"/>
      <c r="R27" s="152">
        <f t="shared" si="14"/>
        <v>0</v>
      </c>
      <c r="S27" s="168" t="str">
        <f t="shared" si="11"/>
        <v/>
      </c>
      <c r="T27" s="154">
        <f t="shared" si="15"/>
        <v>0</v>
      </c>
      <c r="U27" s="169" t="str">
        <f t="shared" si="12"/>
        <v/>
      </c>
    </row>
    <row r="28" spans="2:21" hidden="1" outlineLevel="1" x14ac:dyDescent="0.2">
      <c r="C28" s="116" t="s">
        <v>0</v>
      </c>
      <c r="F28" s="156">
        <v>5490</v>
      </c>
      <c r="G28" s="166"/>
      <c r="H28" s="83"/>
      <c r="I28" s="83"/>
      <c r="J28" s="83"/>
      <c r="K28" s="15"/>
      <c r="L28" s="167">
        <f t="shared" si="16"/>
        <v>0</v>
      </c>
      <c r="M28" s="148">
        <f t="shared" si="17"/>
        <v>0</v>
      </c>
      <c r="N28" s="148">
        <f t="shared" si="18"/>
        <v>0</v>
      </c>
      <c r="O28" s="148">
        <f t="shared" si="19"/>
        <v>0</v>
      </c>
      <c r="P28" s="150">
        <f t="shared" si="13"/>
        <v>0</v>
      </c>
      <c r="Q28" s="151"/>
      <c r="R28" s="152">
        <f t="shared" si="14"/>
        <v>0</v>
      </c>
      <c r="S28" s="168" t="str">
        <f t="shared" si="11"/>
        <v/>
      </c>
      <c r="T28" s="154">
        <f t="shared" si="15"/>
        <v>0</v>
      </c>
      <c r="U28" s="169" t="str">
        <f t="shared" si="12"/>
        <v/>
      </c>
    </row>
    <row r="29" spans="2:21" hidden="1" outlineLevel="1" x14ac:dyDescent="0.2">
      <c r="F29" s="156"/>
      <c r="G29" s="166"/>
      <c r="H29" s="83"/>
      <c r="I29" s="83"/>
      <c r="J29" s="83"/>
      <c r="K29" s="15"/>
      <c r="L29" s="167">
        <f t="shared" si="16"/>
        <v>0</v>
      </c>
      <c r="M29" s="148">
        <f t="shared" si="17"/>
        <v>0</v>
      </c>
      <c r="N29" s="148">
        <f t="shared" si="18"/>
        <v>0</v>
      </c>
      <c r="O29" s="148">
        <f t="shared" si="19"/>
        <v>0</v>
      </c>
      <c r="P29" s="150">
        <f t="shared" si="13"/>
        <v>0</v>
      </c>
      <c r="Q29" s="151"/>
      <c r="R29" s="152">
        <f t="shared" si="14"/>
        <v>0</v>
      </c>
      <c r="S29" s="168" t="str">
        <f t="shared" si="11"/>
        <v/>
      </c>
      <c r="T29" s="154">
        <f t="shared" si="15"/>
        <v>0</v>
      </c>
      <c r="U29" s="155"/>
    </row>
    <row r="30" spans="2:21" hidden="1" outlineLevel="1" x14ac:dyDescent="0.2">
      <c r="F30" s="156"/>
      <c r="G30" s="166"/>
      <c r="H30" s="83"/>
      <c r="I30" s="83"/>
      <c r="J30" s="83"/>
      <c r="K30" s="15"/>
      <c r="L30" s="167">
        <f t="shared" si="16"/>
        <v>0</v>
      </c>
      <c r="M30" s="148">
        <f t="shared" si="17"/>
        <v>0</v>
      </c>
      <c r="N30" s="148">
        <f t="shared" si="18"/>
        <v>0</v>
      </c>
      <c r="O30" s="148">
        <f t="shared" si="19"/>
        <v>0</v>
      </c>
      <c r="P30" s="150">
        <f t="shared" si="13"/>
        <v>0</v>
      </c>
      <c r="Q30" s="151"/>
      <c r="R30" s="152">
        <f t="shared" si="14"/>
        <v>0</v>
      </c>
      <c r="S30" s="168" t="str">
        <f t="shared" si="11"/>
        <v/>
      </c>
      <c r="T30" s="154">
        <f t="shared" si="15"/>
        <v>0</v>
      </c>
      <c r="U30" s="155"/>
    </row>
    <row r="31" spans="2:21" hidden="1" outlineLevel="1" x14ac:dyDescent="0.2">
      <c r="F31" s="156"/>
      <c r="G31" s="166"/>
      <c r="H31" s="83"/>
      <c r="I31" s="83"/>
      <c r="J31" s="83"/>
      <c r="K31" s="15"/>
      <c r="L31" s="167"/>
      <c r="M31" s="148"/>
      <c r="N31" s="148"/>
      <c r="O31" s="148"/>
      <c r="P31" s="150"/>
      <c r="Q31" s="151"/>
      <c r="R31" s="152">
        <f t="shared" si="14"/>
        <v>0</v>
      </c>
      <c r="S31" s="168" t="str">
        <f t="shared" si="11"/>
        <v/>
      </c>
      <c r="T31" s="154">
        <f t="shared" si="15"/>
        <v>0</v>
      </c>
      <c r="U31" s="155"/>
    </row>
    <row r="32" spans="2:21" hidden="1" outlineLevel="1" x14ac:dyDescent="0.2">
      <c r="F32" s="156"/>
      <c r="G32" s="166"/>
      <c r="H32" s="83"/>
      <c r="I32" s="83"/>
      <c r="J32" s="83"/>
      <c r="K32" s="15"/>
      <c r="L32" s="167"/>
      <c r="M32" s="148"/>
      <c r="N32" s="148"/>
      <c r="O32" s="148"/>
      <c r="P32" s="150"/>
      <c r="Q32" s="151"/>
      <c r="R32" s="152"/>
      <c r="S32" s="153"/>
      <c r="T32" s="154"/>
      <c r="U32" s="155"/>
    </row>
    <row r="33" spans="1:21" hidden="1" outlineLevel="1" x14ac:dyDescent="0.2">
      <c r="F33" s="156"/>
      <c r="G33" s="166"/>
      <c r="H33" s="83"/>
      <c r="I33" s="83"/>
      <c r="J33" s="83"/>
      <c r="K33" s="15"/>
      <c r="L33" s="167"/>
      <c r="M33" s="148"/>
      <c r="N33" s="148"/>
      <c r="O33" s="148"/>
      <c r="P33" s="150"/>
      <c r="Q33" s="151"/>
      <c r="R33" s="152"/>
      <c r="S33" s="153"/>
      <c r="T33" s="154"/>
      <c r="U33" s="155"/>
    </row>
    <row r="34" spans="1:21" collapsed="1" x14ac:dyDescent="0.2">
      <c r="B34" s="118" t="s">
        <v>288</v>
      </c>
      <c r="F34" s="156"/>
      <c r="G34" s="157">
        <f t="shared" ref="G34:R34" si="20">SUM(G35:G43)</f>
        <v>50147</v>
      </c>
      <c r="H34" s="84">
        <f t="shared" si="20"/>
        <v>24840</v>
      </c>
      <c r="I34" s="84">
        <f t="shared" si="20"/>
        <v>27030.55</v>
      </c>
      <c r="J34" s="84">
        <f t="shared" si="20"/>
        <v>61915.570000000007</v>
      </c>
      <c r="K34" s="241">
        <f t="shared" si="20"/>
        <v>82069.819999999992</v>
      </c>
      <c r="L34" s="159">
        <f t="shared" si="20"/>
        <v>24840</v>
      </c>
      <c r="M34" s="158">
        <f t="shared" si="20"/>
        <v>2190.5500000000002</v>
      </c>
      <c r="N34" s="158">
        <f t="shared" si="20"/>
        <v>34885.020000000004</v>
      </c>
      <c r="O34" s="158">
        <f t="shared" si="20"/>
        <v>20154.249999999996</v>
      </c>
      <c r="P34" s="160">
        <f t="shared" si="20"/>
        <v>82069.819999999992</v>
      </c>
      <c r="Q34" s="161">
        <f t="shared" si="20"/>
        <v>48900</v>
      </c>
      <c r="R34" s="162">
        <f t="shared" si="20"/>
        <v>33169.82</v>
      </c>
      <c r="S34" s="171">
        <f>IF(Q34=0,"",P34/Q34)</f>
        <v>1.6783194274028628</v>
      </c>
      <c r="T34" s="164">
        <f>SUM(T35:T43)</f>
        <v>31922.819999999996</v>
      </c>
      <c r="U34" s="172">
        <f>IF(G34=0,"",P34/G34)</f>
        <v>1.6365848405687278</v>
      </c>
    </row>
    <row r="35" spans="1:21" outlineLevel="1" x14ac:dyDescent="0.2">
      <c r="C35" s="116" t="s">
        <v>124</v>
      </c>
      <c r="F35" s="156"/>
      <c r="G35" s="166">
        <v>1150</v>
      </c>
      <c r="H35" s="85">
        <v>200</v>
      </c>
      <c r="I35" s="83">
        <v>360</v>
      </c>
      <c r="J35" s="83">
        <v>440</v>
      </c>
      <c r="K35" s="229">
        <v>570</v>
      </c>
      <c r="L35" s="167">
        <f>+H35</f>
        <v>200</v>
      </c>
      <c r="M35" s="148">
        <f>IF(I35=0,0,I35-H35)</f>
        <v>160</v>
      </c>
      <c r="N35" s="148">
        <f t="shared" ref="N35:N42" si="21">IF(J35=0,0,J35-I35)</f>
        <v>80</v>
      </c>
      <c r="O35" s="148">
        <f t="shared" ref="O35:O42" si="22">IF(K35=0,0,K35-J35)</f>
        <v>130</v>
      </c>
      <c r="P35" s="150">
        <f>SUM(L35:O35)</f>
        <v>570</v>
      </c>
      <c r="Q35" s="151">
        <v>1200</v>
      </c>
      <c r="R35" s="152">
        <f t="shared" ref="R35:R40" si="23">P35-Q35</f>
        <v>-630</v>
      </c>
      <c r="S35" s="173">
        <f>IF(Q35=0,"",P35/Q35)</f>
        <v>0.47499999999999998</v>
      </c>
      <c r="T35" s="154">
        <f>P35-G35</f>
        <v>-580</v>
      </c>
      <c r="U35" s="170">
        <f>IF(G35=0,"",P35/G35)</f>
        <v>0.4956521739130435</v>
      </c>
    </row>
    <row r="36" spans="1:21" outlineLevel="1" x14ac:dyDescent="0.2">
      <c r="C36" s="116" t="s">
        <v>190</v>
      </c>
      <c r="F36" s="156"/>
      <c r="G36" s="166">
        <v>37090</v>
      </c>
      <c r="H36" s="85">
        <v>23510</v>
      </c>
      <c r="I36" s="83">
        <v>26010</v>
      </c>
      <c r="J36" s="83">
        <v>27790.02</v>
      </c>
      <c r="K36" s="229">
        <v>42430.02</v>
      </c>
      <c r="L36" s="167">
        <f t="shared" ref="L36:L42" si="24">+H36</f>
        <v>23510</v>
      </c>
      <c r="M36" s="148">
        <f t="shared" ref="M36:M42" si="25">IF(I36=0,0,I36-H36)</f>
        <v>2500</v>
      </c>
      <c r="N36" s="148">
        <f t="shared" si="21"/>
        <v>1780.0200000000004</v>
      </c>
      <c r="O36" s="148">
        <f t="shared" si="22"/>
        <v>14639.999999999996</v>
      </c>
      <c r="P36" s="150">
        <f>SUM(L36:O36)</f>
        <v>42430.02</v>
      </c>
      <c r="Q36" s="174">
        <v>45000</v>
      </c>
      <c r="R36" s="152">
        <f t="shared" si="23"/>
        <v>-2569.9800000000032</v>
      </c>
      <c r="S36" s="173">
        <f>IF(Q36=0,"",P36/Q36)</f>
        <v>0.94288933333333325</v>
      </c>
      <c r="T36" s="154">
        <f>P36-G36</f>
        <v>5340.0199999999968</v>
      </c>
      <c r="U36" s="170">
        <f>IF(G36=0,"",P36/G36)</f>
        <v>1.1439746562415745</v>
      </c>
    </row>
    <row r="37" spans="1:21" outlineLevel="1" x14ac:dyDescent="0.2">
      <c r="C37" s="116" t="s">
        <v>264</v>
      </c>
      <c r="F37" s="156" t="s">
        <v>133</v>
      </c>
      <c r="G37" s="166"/>
      <c r="H37" s="85"/>
      <c r="I37" s="83"/>
      <c r="J37" s="83"/>
      <c r="K37" s="229"/>
      <c r="L37" s="167">
        <f>+H37</f>
        <v>0</v>
      </c>
      <c r="M37" s="148">
        <f>IF(I37=0,0,I37-H37)</f>
        <v>0</v>
      </c>
      <c r="N37" s="148">
        <f>IF(J37=0,0,J37-I37)</f>
        <v>0</v>
      </c>
      <c r="O37" s="148">
        <f>IF(K37=0,0,K37-J37)</f>
        <v>0</v>
      </c>
      <c r="P37" s="150"/>
      <c r="Q37" s="151"/>
      <c r="R37" s="152">
        <f t="shared" si="23"/>
        <v>0</v>
      </c>
      <c r="S37" s="173"/>
      <c r="T37" s="154"/>
      <c r="U37" s="170"/>
    </row>
    <row r="38" spans="1:21" outlineLevel="1" x14ac:dyDescent="0.2">
      <c r="C38" s="116" t="s">
        <v>191</v>
      </c>
      <c r="F38" s="156" t="s">
        <v>199</v>
      </c>
      <c r="G38" s="166">
        <v>10925</v>
      </c>
      <c r="H38" s="85">
        <v>315</v>
      </c>
      <c r="I38" s="83">
        <v>340</v>
      </c>
      <c r="J38" s="83">
        <v>33340</v>
      </c>
      <c r="K38" s="229">
        <v>38720</v>
      </c>
      <c r="L38" s="167">
        <f t="shared" si="24"/>
        <v>315</v>
      </c>
      <c r="M38" s="148">
        <f t="shared" si="25"/>
        <v>25</v>
      </c>
      <c r="N38" s="148">
        <f t="shared" si="21"/>
        <v>33000</v>
      </c>
      <c r="O38" s="148">
        <f t="shared" si="22"/>
        <v>5380</v>
      </c>
      <c r="P38" s="150">
        <f>SUM(L38:O38)</f>
        <v>38720</v>
      </c>
      <c r="Q38" s="151">
        <v>2000</v>
      </c>
      <c r="R38" s="152">
        <f t="shared" si="23"/>
        <v>36720</v>
      </c>
      <c r="S38" s="173">
        <f t="shared" ref="S38:S43" si="26">IF(Q38=0,"",P38/Q38)</f>
        <v>19.36</v>
      </c>
      <c r="T38" s="154">
        <f t="shared" ref="T38:T43" si="27">P38-G38</f>
        <v>27795</v>
      </c>
      <c r="U38" s="170">
        <f t="shared" ref="U38:U43" si="28">IF(G38=0,"",P38/G38)</f>
        <v>3.5441647597254002</v>
      </c>
    </row>
    <row r="39" spans="1:21" outlineLevel="1" x14ac:dyDescent="0.2">
      <c r="C39" s="116" t="s">
        <v>346</v>
      </c>
      <c r="F39" s="156"/>
      <c r="G39" s="166"/>
      <c r="H39" s="85"/>
      <c r="I39" s="83"/>
      <c r="J39" s="83"/>
      <c r="K39" s="229"/>
      <c r="L39" s="167">
        <f t="shared" si="24"/>
        <v>0</v>
      </c>
      <c r="M39" s="148">
        <f t="shared" si="25"/>
        <v>0</v>
      </c>
      <c r="N39" s="148">
        <f t="shared" si="21"/>
        <v>0</v>
      </c>
      <c r="O39" s="148">
        <f t="shared" si="22"/>
        <v>0</v>
      </c>
      <c r="P39" s="150">
        <f>SUM(L39:O39)</f>
        <v>0</v>
      </c>
      <c r="Q39" s="151"/>
      <c r="R39" s="152">
        <f t="shared" si="23"/>
        <v>0</v>
      </c>
      <c r="S39" s="173" t="str">
        <f t="shared" si="26"/>
        <v/>
      </c>
      <c r="T39" s="154">
        <f t="shared" si="27"/>
        <v>0</v>
      </c>
      <c r="U39" s="170" t="str">
        <f t="shared" si="28"/>
        <v/>
      </c>
    </row>
    <row r="40" spans="1:21" outlineLevel="1" x14ac:dyDescent="0.2">
      <c r="C40" s="116" t="s">
        <v>0</v>
      </c>
      <c r="F40" s="156">
        <v>5490</v>
      </c>
      <c r="G40" s="166">
        <f>380+300+155+147</f>
        <v>982</v>
      </c>
      <c r="H40" s="83">
        <f>265</f>
        <v>265</v>
      </c>
      <c r="I40" s="83">
        <v>385</v>
      </c>
      <c r="J40" s="83">
        <v>410</v>
      </c>
      <c r="K40" s="229">
        <v>554</v>
      </c>
      <c r="L40" s="167">
        <f>+H40</f>
        <v>265</v>
      </c>
      <c r="M40" s="148">
        <f t="shared" si="25"/>
        <v>120</v>
      </c>
      <c r="N40" s="148">
        <f t="shared" si="21"/>
        <v>25</v>
      </c>
      <c r="O40" s="148">
        <f t="shared" si="22"/>
        <v>144</v>
      </c>
      <c r="P40" s="150">
        <f>SUM(L40:O40)</f>
        <v>554</v>
      </c>
      <c r="Q40" s="151">
        <v>700</v>
      </c>
      <c r="R40" s="152">
        <f t="shared" si="23"/>
        <v>-146</v>
      </c>
      <c r="S40" s="173">
        <f t="shared" si="26"/>
        <v>0.79142857142857148</v>
      </c>
      <c r="T40" s="154">
        <f t="shared" si="27"/>
        <v>-428</v>
      </c>
      <c r="U40" s="170">
        <f t="shared" si="28"/>
        <v>0.56415478615071279</v>
      </c>
    </row>
    <row r="41" spans="1:21" outlineLevel="1" x14ac:dyDescent="0.2">
      <c r="C41" s="251" t="s">
        <v>295</v>
      </c>
      <c r="F41" s="156"/>
      <c r="G41" s="166"/>
      <c r="H41" s="83">
        <v>550</v>
      </c>
      <c r="I41" s="83">
        <f>550-614.45</f>
        <v>-64.450000000000045</v>
      </c>
      <c r="J41" s="83">
        <f>550-614.45</f>
        <v>-64.450000000000045</v>
      </c>
      <c r="K41" s="226">
        <v>-204.2</v>
      </c>
      <c r="L41" s="167">
        <f t="shared" si="24"/>
        <v>550</v>
      </c>
      <c r="M41" s="148">
        <f t="shared" si="25"/>
        <v>-614.45000000000005</v>
      </c>
      <c r="N41" s="148">
        <f t="shared" si="21"/>
        <v>0</v>
      </c>
      <c r="O41" s="148">
        <f t="shared" si="22"/>
        <v>-139.74999999999994</v>
      </c>
      <c r="P41" s="150">
        <f>SUM(L41:O41)</f>
        <v>-204.2</v>
      </c>
      <c r="Q41" s="151"/>
      <c r="R41" s="152">
        <f>P41-Q41</f>
        <v>-204.2</v>
      </c>
      <c r="S41" s="173" t="str">
        <f t="shared" si="26"/>
        <v/>
      </c>
      <c r="T41" s="154">
        <f t="shared" si="27"/>
        <v>-204.2</v>
      </c>
      <c r="U41" s="170" t="str">
        <f t="shared" si="28"/>
        <v/>
      </c>
    </row>
    <row r="42" spans="1:21" outlineLevel="1" x14ac:dyDescent="0.2">
      <c r="F42" s="156"/>
      <c r="G42" s="166"/>
      <c r="H42" s="83"/>
      <c r="I42" s="83"/>
      <c r="J42" s="83"/>
      <c r="K42" s="229"/>
      <c r="L42" s="167">
        <f t="shared" si="24"/>
        <v>0</v>
      </c>
      <c r="M42" s="148">
        <f t="shared" si="25"/>
        <v>0</v>
      </c>
      <c r="N42" s="148">
        <f t="shared" si="21"/>
        <v>0</v>
      </c>
      <c r="O42" s="148">
        <f t="shared" si="22"/>
        <v>0</v>
      </c>
      <c r="P42" s="150">
        <f>SUM(L42:O42)</f>
        <v>0</v>
      </c>
      <c r="Q42" s="151"/>
      <c r="R42" s="152">
        <f>P42-Q42</f>
        <v>0</v>
      </c>
      <c r="S42" s="173" t="str">
        <f t="shared" si="26"/>
        <v/>
      </c>
      <c r="T42" s="154">
        <f t="shared" si="27"/>
        <v>0</v>
      </c>
      <c r="U42" s="170" t="str">
        <f t="shared" si="28"/>
        <v/>
      </c>
    </row>
    <row r="43" spans="1:21" outlineLevel="1" x14ac:dyDescent="0.2">
      <c r="F43" s="156"/>
      <c r="G43" s="166"/>
      <c r="H43" s="83"/>
      <c r="I43" s="83"/>
      <c r="J43" s="83"/>
      <c r="K43" s="15"/>
      <c r="L43" s="167"/>
      <c r="M43" s="148"/>
      <c r="N43" s="148"/>
      <c r="O43" s="148"/>
      <c r="P43" s="150"/>
      <c r="Q43" s="151"/>
      <c r="R43" s="152">
        <f>P43-Q43</f>
        <v>0</v>
      </c>
      <c r="S43" s="173" t="str">
        <f t="shared" si="26"/>
        <v/>
      </c>
      <c r="T43" s="154">
        <f t="shared" si="27"/>
        <v>0</v>
      </c>
      <c r="U43" s="170" t="str">
        <f t="shared" si="28"/>
        <v/>
      </c>
    </row>
    <row r="44" spans="1:21" outlineLevel="1" x14ac:dyDescent="0.2">
      <c r="F44" s="156"/>
      <c r="G44" s="166"/>
      <c r="H44" s="83"/>
      <c r="I44" s="83"/>
      <c r="J44" s="83"/>
      <c r="K44" s="15"/>
      <c r="L44" s="167"/>
      <c r="M44" s="148"/>
      <c r="N44" s="148"/>
      <c r="O44" s="148"/>
      <c r="P44" s="150"/>
      <c r="Q44" s="151"/>
      <c r="R44" s="152"/>
      <c r="S44" s="153"/>
      <c r="T44" s="154"/>
      <c r="U44" s="155"/>
    </row>
    <row r="45" spans="1:21" x14ac:dyDescent="0.2">
      <c r="A45" s="118" t="s">
        <v>102</v>
      </c>
      <c r="F45" s="156"/>
      <c r="G45" s="175">
        <f t="shared" ref="G45:Q45" si="29">+G8+G20+G34</f>
        <v>50147</v>
      </c>
      <c r="H45" s="86">
        <f t="shared" si="29"/>
        <v>24840</v>
      </c>
      <c r="I45" s="86">
        <f t="shared" si="29"/>
        <v>27030.55</v>
      </c>
      <c r="J45" s="86">
        <f t="shared" si="29"/>
        <v>61915.570000000007</v>
      </c>
      <c r="K45" s="243">
        <f t="shared" si="29"/>
        <v>82069.819999999992</v>
      </c>
      <c r="L45" s="177">
        <f t="shared" si="29"/>
        <v>24840</v>
      </c>
      <c r="M45" s="176">
        <f t="shared" si="29"/>
        <v>2190.5500000000002</v>
      </c>
      <c r="N45" s="176">
        <f t="shared" si="29"/>
        <v>34885.020000000004</v>
      </c>
      <c r="O45" s="176">
        <f t="shared" si="29"/>
        <v>20154.249999999996</v>
      </c>
      <c r="P45" s="178">
        <f t="shared" si="29"/>
        <v>82069.819999999992</v>
      </c>
      <c r="Q45" s="179">
        <f t="shared" si="29"/>
        <v>48900</v>
      </c>
      <c r="R45" s="180">
        <f>R8+R20+R34</f>
        <v>33169.82</v>
      </c>
      <c r="S45" s="181">
        <f>IF(Q45=0,"",P45/Q45)</f>
        <v>1.6783194274028628</v>
      </c>
      <c r="T45" s="182">
        <f>T8+T20+T34</f>
        <v>31922.819999999996</v>
      </c>
      <c r="U45" s="183">
        <f>IF(G45=0,"",P45/G45)</f>
        <v>1.6365848405687278</v>
      </c>
    </row>
    <row r="46" spans="1:21" x14ac:dyDescent="0.2">
      <c r="F46" s="156"/>
      <c r="G46" s="166"/>
      <c r="H46" s="83"/>
      <c r="I46" s="83"/>
      <c r="J46" s="83"/>
      <c r="K46" s="15"/>
      <c r="L46" s="167"/>
      <c r="M46" s="148"/>
      <c r="N46" s="148"/>
      <c r="O46" s="148"/>
      <c r="P46" s="150"/>
      <c r="Q46" s="151"/>
      <c r="R46" s="152"/>
      <c r="S46" s="153"/>
      <c r="T46" s="154"/>
      <c r="U46" s="155"/>
    </row>
    <row r="47" spans="1:21" x14ac:dyDescent="0.2">
      <c r="A47" s="118" t="s">
        <v>194</v>
      </c>
      <c r="F47" s="156"/>
      <c r="G47" s="166"/>
      <c r="H47" s="83"/>
      <c r="I47" s="83"/>
      <c r="J47" s="83"/>
      <c r="K47" s="15"/>
      <c r="L47" s="167"/>
      <c r="M47" s="148"/>
      <c r="N47" s="148"/>
      <c r="O47" s="148"/>
      <c r="P47" s="150"/>
      <c r="Q47" s="151"/>
      <c r="R47" s="152"/>
      <c r="S47" s="153"/>
      <c r="T47" s="154"/>
      <c r="U47" s="155"/>
    </row>
    <row r="48" spans="1:21" outlineLevel="1" x14ac:dyDescent="0.2">
      <c r="B48" s="116" t="s">
        <v>360</v>
      </c>
      <c r="F48" s="156"/>
      <c r="G48" s="166">
        <f>105+232.86+280.22+204.39</f>
        <v>822.47</v>
      </c>
      <c r="H48" s="83"/>
      <c r="I48" s="83"/>
      <c r="J48" s="83"/>
      <c r="K48" s="15"/>
      <c r="L48" s="167">
        <f t="shared" ref="L48:L74" si="30">+H48</f>
        <v>0</v>
      </c>
      <c r="M48" s="148">
        <f t="shared" ref="M48:M74" si="31">IF(I48=0,0,I48-H48)</f>
        <v>0</v>
      </c>
      <c r="N48" s="148">
        <f t="shared" ref="N48:N74" si="32">IF(J48=0,0,J48-I48)</f>
        <v>0</v>
      </c>
      <c r="O48" s="148">
        <f t="shared" ref="O48:O74" si="33">IF(K48=0,0,K48-J48)</f>
        <v>0</v>
      </c>
      <c r="P48" s="150">
        <f t="shared" ref="P48:P74" si="34">SUM(L48:O48)</f>
        <v>0</v>
      </c>
      <c r="Q48" s="151">
        <v>900</v>
      </c>
      <c r="R48" s="152">
        <f t="shared" ref="R48:R74" si="35">P48-Q48</f>
        <v>-900</v>
      </c>
      <c r="S48" s="173">
        <f t="shared" ref="S48:S76" si="36">IF(Q48=0,"",P48/Q48)</f>
        <v>0</v>
      </c>
      <c r="T48" s="154">
        <f t="shared" ref="T48:T70" si="37">P48-G48</f>
        <v>-822.47</v>
      </c>
      <c r="U48" s="170">
        <f t="shared" ref="U48:U76" si="38">IF(G48=0,"",P48/G48)</f>
        <v>0</v>
      </c>
    </row>
    <row r="49" spans="2:21" outlineLevel="1" x14ac:dyDescent="0.2">
      <c r="B49" s="116" t="s">
        <v>224</v>
      </c>
      <c r="F49" s="156" t="s">
        <v>207</v>
      </c>
      <c r="G49" s="166"/>
      <c r="H49" s="83"/>
      <c r="I49" s="83"/>
      <c r="J49" s="83"/>
      <c r="K49" s="15"/>
      <c r="L49" s="167">
        <f t="shared" si="30"/>
        <v>0</v>
      </c>
      <c r="M49" s="148">
        <f t="shared" si="31"/>
        <v>0</v>
      </c>
      <c r="N49" s="148">
        <f t="shared" si="32"/>
        <v>0</v>
      </c>
      <c r="O49" s="148">
        <f t="shared" si="33"/>
        <v>0</v>
      </c>
      <c r="P49" s="150">
        <f t="shared" si="34"/>
        <v>0</v>
      </c>
      <c r="Q49" s="151"/>
      <c r="R49" s="152">
        <f t="shared" si="35"/>
        <v>0</v>
      </c>
      <c r="S49" s="173" t="str">
        <f t="shared" si="36"/>
        <v/>
      </c>
      <c r="T49" s="154">
        <f t="shared" si="37"/>
        <v>0</v>
      </c>
      <c r="U49" s="170" t="str">
        <f t="shared" si="38"/>
        <v/>
      </c>
    </row>
    <row r="50" spans="2:21" outlineLevel="1" x14ac:dyDescent="0.2">
      <c r="B50" s="116" t="s">
        <v>1</v>
      </c>
      <c r="F50" s="156"/>
      <c r="G50" s="166">
        <f>288.64+255+1000</f>
        <v>1543.6399999999999</v>
      </c>
      <c r="H50" s="85">
        <v>160.58000000000001</v>
      </c>
      <c r="I50" s="83">
        <f>-800+160.58</f>
        <v>-639.41999999999996</v>
      </c>
      <c r="J50" s="83">
        <f>-800+160.58+369.55</f>
        <v>-269.86999999999995</v>
      </c>
      <c r="K50" s="226">
        <f>-800+160.58+369.55</f>
        <v>-269.86999999999995</v>
      </c>
      <c r="L50" s="167">
        <f t="shared" si="30"/>
        <v>160.58000000000001</v>
      </c>
      <c r="M50" s="148">
        <f t="shared" si="31"/>
        <v>-800</v>
      </c>
      <c r="N50" s="148">
        <f t="shared" si="32"/>
        <v>369.55</v>
      </c>
      <c r="O50" s="148">
        <f t="shared" si="33"/>
        <v>0</v>
      </c>
      <c r="P50" s="150">
        <f t="shared" si="34"/>
        <v>-269.86999999999995</v>
      </c>
      <c r="Q50" s="151">
        <v>1000</v>
      </c>
      <c r="R50" s="152">
        <f t="shared" si="35"/>
        <v>-1269.8699999999999</v>
      </c>
      <c r="S50" s="173">
        <f t="shared" si="36"/>
        <v>-0.26986999999999994</v>
      </c>
      <c r="T50" s="154">
        <f t="shared" si="37"/>
        <v>-1813.5099999999998</v>
      </c>
      <c r="U50" s="170">
        <f t="shared" si="38"/>
        <v>-0.17482703220958254</v>
      </c>
    </row>
    <row r="51" spans="2:21" outlineLevel="1" x14ac:dyDescent="0.2">
      <c r="B51" s="116" t="s">
        <v>225</v>
      </c>
      <c r="F51" s="156" t="s">
        <v>210</v>
      </c>
      <c r="G51" s="166"/>
      <c r="H51" s="85"/>
      <c r="I51" s="83"/>
      <c r="J51" s="83"/>
      <c r="K51" s="229"/>
      <c r="L51" s="167">
        <f t="shared" si="30"/>
        <v>0</v>
      </c>
      <c r="M51" s="148">
        <f t="shared" si="31"/>
        <v>0</v>
      </c>
      <c r="N51" s="148">
        <f t="shared" si="32"/>
        <v>0</v>
      </c>
      <c r="O51" s="148">
        <f t="shared" si="33"/>
        <v>0</v>
      </c>
      <c r="P51" s="150">
        <f t="shared" si="34"/>
        <v>0</v>
      </c>
      <c r="Q51" s="151"/>
      <c r="R51" s="152">
        <f t="shared" si="35"/>
        <v>0</v>
      </c>
      <c r="S51" s="173" t="str">
        <f t="shared" si="36"/>
        <v/>
      </c>
      <c r="T51" s="154">
        <f t="shared" si="37"/>
        <v>0</v>
      </c>
      <c r="U51" s="170" t="str">
        <f t="shared" si="38"/>
        <v/>
      </c>
    </row>
    <row r="52" spans="2:21" outlineLevel="1" x14ac:dyDescent="0.2">
      <c r="B52" s="116" t="s">
        <v>222</v>
      </c>
      <c r="E52" s="184" t="s">
        <v>412</v>
      </c>
      <c r="F52" s="156"/>
      <c r="G52" s="166">
        <f>G149</f>
        <v>8170.94</v>
      </c>
      <c r="H52" s="85">
        <f>H149</f>
        <v>209.9</v>
      </c>
      <c r="I52" s="85">
        <f>I149</f>
        <v>385.05</v>
      </c>
      <c r="J52" s="83">
        <f>J149</f>
        <v>1342.37</v>
      </c>
      <c r="K52" s="229">
        <f>K149</f>
        <v>1560.1599999999999</v>
      </c>
      <c r="L52" s="167">
        <f t="shared" si="30"/>
        <v>209.9</v>
      </c>
      <c r="M52" s="148">
        <f t="shared" si="31"/>
        <v>175.15</v>
      </c>
      <c r="N52" s="148">
        <f t="shared" si="32"/>
        <v>957.31999999999994</v>
      </c>
      <c r="O52" s="148">
        <f t="shared" si="33"/>
        <v>217.78999999999996</v>
      </c>
      <c r="P52" s="150">
        <f t="shared" si="34"/>
        <v>1560.1599999999999</v>
      </c>
      <c r="Q52" s="151">
        <f>Q149</f>
        <v>5000</v>
      </c>
      <c r="R52" s="152">
        <f t="shared" si="35"/>
        <v>-3439.84</v>
      </c>
      <c r="S52" s="173">
        <f t="shared" si="36"/>
        <v>0.31203199999999998</v>
      </c>
      <c r="T52" s="154">
        <f t="shared" si="37"/>
        <v>-6610.78</v>
      </c>
      <c r="U52" s="170">
        <f t="shared" si="38"/>
        <v>0.19094008767657086</v>
      </c>
    </row>
    <row r="53" spans="2:21" outlineLevel="1" x14ac:dyDescent="0.2">
      <c r="B53" s="116" t="s">
        <v>223</v>
      </c>
      <c r="E53" s="184" t="s">
        <v>412</v>
      </c>
      <c r="F53" s="156"/>
      <c r="G53" s="166">
        <f>G158</f>
        <v>0</v>
      </c>
      <c r="H53" s="85">
        <f>H158</f>
        <v>0</v>
      </c>
      <c r="I53" s="85">
        <f>I158</f>
        <v>0</v>
      </c>
      <c r="J53" s="83">
        <f>J158</f>
        <v>0</v>
      </c>
      <c r="K53" s="229">
        <f>K158</f>
        <v>0</v>
      </c>
      <c r="L53" s="167">
        <f t="shared" si="30"/>
        <v>0</v>
      </c>
      <c r="M53" s="148">
        <f t="shared" si="31"/>
        <v>0</v>
      </c>
      <c r="N53" s="148">
        <f t="shared" si="32"/>
        <v>0</v>
      </c>
      <c r="O53" s="148">
        <f t="shared" si="33"/>
        <v>0</v>
      </c>
      <c r="P53" s="150">
        <f t="shared" si="34"/>
        <v>0</v>
      </c>
      <c r="Q53" s="151">
        <f>Q158</f>
        <v>0</v>
      </c>
      <c r="R53" s="152">
        <f t="shared" si="35"/>
        <v>0</v>
      </c>
      <c r="S53" s="173" t="str">
        <f t="shared" si="36"/>
        <v/>
      </c>
      <c r="T53" s="154">
        <f t="shared" si="37"/>
        <v>0</v>
      </c>
      <c r="U53" s="170" t="str">
        <f t="shared" si="38"/>
        <v/>
      </c>
    </row>
    <row r="54" spans="2:21" outlineLevel="1" x14ac:dyDescent="0.2">
      <c r="B54" s="116" t="s">
        <v>92</v>
      </c>
      <c r="E54" s="184" t="s">
        <v>412</v>
      </c>
      <c r="F54" s="156"/>
      <c r="G54" s="166">
        <f>G140</f>
        <v>3733.2</v>
      </c>
      <c r="H54" s="85">
        <f>H140</f>
        <v>18129.2</v>
      </c>
      <c r="I54" s="85">
        <f>I140</f>
        <v>4728.2</v>
      </c>
      <c r="J54" s="83">
        <f>J140</f>
        <v>4728.2</v>
      </c>
      <c r="K54" s="229">
        <f>K140</f>
        <v>4728.2</v>
      </c>
      <c r="L54" s="167">
        <f t="shared" si="30"/>
        <v>18129.2</v>
      </c>
      <c r="M54" s="148">
        <f t="shared" si="31"/>
        <v>-13401</v>
      </c>
      <c r="N54" s="148">
        <f t="shared" si="32"/>
        <v>0</v>
      </c>
      <c r="O54" s="148">
        <f t="shared" si="33"/>
        <v>0</v>
      </c>
      <c r="P54" s="150">
        <f t="shared" si="34"/>
        <v>4728.2000000000007</v>
      </c>
      <c r="Q54" s="151">
        <f>Q140</f>
        <v>4728</v>
      </c>
      <c r="R54" s="152">
        <f t="shared" si="35"/>
        <v>0.2000000000007276</v>
      </c>
      <c r="S54" s="173">
        <f t="shared" si="36"/>
        <v>1.0000423011844333</v>
      </c>
      <c r="T54" s="154">
        <f t="shared" si="37"/>
        <v>995.00000000000091</v>
      </c>
      <c r="U54" s="170">
        <f t="shared" si="38"/>
        <v>1.2665273759777138</v>
      </c>
    </row>
    <row r="55" spans="2:21" outlineLevel="1" x14ac:dyDescent="0.2">
      <c r="B55" s="116" t="s">
        <v>226</v>
      </c>
      <c r="F55" s="156"/>
      <c r="G55" s="166"/>
      <c r="H55" s="85"/>
      <c r="I55" s="83"/>
      <c r="J55" s="83"/>
      <c r="K55" s="229"/>
      <c r="L55" s="167">
        <f t="shared" si="30"/>
        <v>0</v>
      </c>
      <c r="M55" s="148">
        <f t="shared" si="31"/>
        <v>0</v>
      </c>
      <c r="N55" s="148">
        <f t="shared" si="32"/>
        <v>0</v>
      </c>
      <c r="O55" s="148">
        <f t="shared" si="33"/>
        <v>0</v>
      </c>
      <c r="P55" s="150">
        <f t="shared" si="34"/>
        <v>0</v>
      </c>
      <c r="Q55" s="151"/>
      <c r="R55" s="152">
        <f t="shared" si="35"/>
        <v>0</v>
      </c>
      <c r="S55" s="173" t="str">
        <f t="shared" si="36"/>
        <v/>
      </c>
      <c r="T55" s="154">
        <f t="shared" si="37"/>
        <v>0</v>
      </c>
      <c r="U55" s="170" t="str">
        <f t="shared" si="38"/>
        <v/>
      </c>
    </row>
    <row r="56" spans="2:21" outlineLevel="1" x14ac:dyDescent="0.2">
      <c r="B56" s="116" t="s">
        <v>6</v>
      </c>
      <c r="F56" s="156">
        <v>8222</v>
      </c>
      <c r="G56" s="166"/>
      <c r="H56" s="85"/>
      <c r="I56" s="83"/>
      <c r="J56" s="83"/>
      <c r="K56" s="229"/>
      <c r="L56" s="167">
        <f t="shared" si="30"/>
        <v>0</v>
      </c>
      <c r="M56" s="148">
        <f t="shared" si="31"/>
        <v>0</v>
      </c>
      <c r="N56" s="148">
        <f t="shared" si="32"/>
        <v>0</v>
      </c>
      <c r="O56" s="148">
        <f t="shared" si="33"/>
        <v>0</v>
      </c>
      <c r="P56" s="150">
        <f t="shared" si="34"/>
        <v>0</v>
      </c>
      <c r="Q56" s="151"/>
      <c r="R56" s="152">
        <f t="shared" si="35"/>
        <v>0</v>
      </c>
      <c r="S56" s="173" t="str">
        <f t="shared" si="36"/>
        <v/>
      </c>
      <c r="T56" s="154">
        <f t="shared" si="37"/>
        <v>0</v>
      </c>
      <c r="U56" s="170" t="str">
        <f t="shared" si="38"/>
        <v/>
      </c>
    </row>
    <row r="57" spans="2:21" outlineLevel="1" x14ac:dyDescent="0.2">
      <c r="B57" s="116" t="s">
        <v>227</v>
      </c>
      <c r="F57" s="156">
        <v>8224</v>
      </c>
      <c r="G57" s="166"/>
      <c r="H57" s="85"/>
      <c r="I57" s="83"/>
      <c r="J57" s="83"/>
      <c r="K57" s="229"/>
      <c r="L57" s="167">
        <f t="shared" si="30"/>
        <v>0</v>
      </c>
      <c r="M57" s="148">
        <f t="shared" si="31"/>
        <v>0</v>
      </c>
      <c r="N57" s="148">
        <f t="shared" si="32"/>
        <v>0</v>
      </c>
      <c r="O57" s="148">
        <f t="shared" si="33"/>
        <v>0</v>
      </c>
      <c r="P57" s="150">
        <f t="shared" si="34"/>
        <v>0</v>
      </c>
      <c r="Q57" s="151"/>
      <c r="R57" s="152">
        <f t="shared" si="35"/>
        <v>0</v>
      </c>
      <c r="S57" s="173" t="str">
        <f t="shared" si="36"/>
        <v/>
      </c>
      <c r="T57" s="154">
        <f t="shared" si="37"/>
        <v>0</v>
      </c>
      <c r="U57" s="170" t="str">
        <f t="shared" si="38"/>
        <v/>
      </c>
    </row>
    <row r="58" spans="2:21" outlineLevel="1" x14ac:dyDescent="0.2">
      <c r="B58" s="116" t="s">
        <v>228</v>
      </c>
      <c r="F58" s="156">
        <v>8116</v>
      </c>
      <c r="G58" s="166"/>
      <c r="H58" s="85"/>
      <c r="I58" s="83"/>
      <c r="J58" s="83"/>
      <c r="K58" s="277"/>
      <c r="L58" s="167">
        <f t="shared" si="30"/>
        <v>0</v>
      </c>
      <c r="M58" s="148">
        <f t="shared" si="31"/>
        <v>0</v>
      </c>
      <c r="N58" s="148">
        <f t="shared" si="32"/>
        <v>0</v>
      </c>
      <c r="O58" s="148">
        <f t="shared" si="33"/>
        <v>0</v>
      </c>
      <c r="P58" s="150">
        <f t="shared" si="34"/>
        <v>0</v>
      </c>
      <c r="Q58" s="151"/>
      <c r="R58" s="152">
        <f t="shared" si="35"/>
        <v>0</v>
      </c>
      <c r="S58" s="173" t="str">
        <f t="shared" si="36"/>
        <v/>
      </c>
      <c r="T58" s="154">
        <f t="shared" si="37"/>
        <v>0</v>
      </c>
      <c r="U58" s="170" t="str">
        <f t="shared" si="38"/>
        <v/>
      </c>
    </row>
    <row r="59" spans="2:21" outlineLevel="1" x14ac:dyDescent="0.2">
      <c r="B59" s="116" t="s">
        <v>229</v>
      </c>
      <c r="F59" s="156">
        <v>8540</v>
      </c>
      <c r="G59" s="166"/>
      <c r="H59" s="85"/>
      <c r="I59" s="83"/>
      <c r="J59" s="83"/>
      <c r="K59" s="229"/>
      <c r="L59" s="167">
        <f t="shared" si="30"/>
        <v>0</v>
      </c>
      <c r="M59" s="148">
        <f t="shared" si="31"/>
        <v>0</v>
      </c>
      <c r="N59" s="148">
        <f t="shared" si="32"/>
        <v>0</v>
      </c>
      <c r="O59" s="148">
        <f t="shared" si="33"/>
        <v>0</v>
      </c>
      <c r="P59" s="150">
        <f t="shared" si="34"/>
        <v>0</v>
      </c>
      <c r="Q59" s="151"/>
      <c r="R59" s="152">
        <f t="shared" si="35"/>
        <v>0</v>
      </c>
      <c r="S59" s="173" t="str">
        <f t="shared" si="36"/>
        <v/>
      </c>
      <c r="T59" s="154">
        <f t="shared" si="37"/>
        <v>0</v>
      </c>
      <c r="U59" s="170" t="str">
        <f t="shared" si="38"/>
        <v/>
      </c>
    </row>
    <row r="60" spans="2:21" outlineLevel="1" x14ac:dyDescent="0.2">
      <c r="B60" s="116" t="s">
        <v>89</v>
      </c>
      <c r="F60" s="156">
        <v>8117</v>
      </c>
      <c r="G60" s="166"/>
      <c r="H60" s="85"/>
      <c r="I60" s="83"/>
      <c r="J60" s="83"/>
      <c r="K60" s="229"/>
      <c r="L60" s="167">
        <f t="shared" si="30"/>
        <v>0</v>
      </c>
      <c r="M60" s="148">
        <f t="shared" si="31"/>
        <v>0</v>
      </c>
      <c r="N60" s="148">
        <f t="shared" si="32"/>
        <v>0</v>
      </c>
      <c r="O60" s="148">
        <f t="shared" si="33"/>
        <v>0</v>
      </c>
      <c r="P60" s="150">
        <f t="shared" si="34"/>
        <v>0</v>
      </c>
      <c r="Q60" s="151"/>
      <c r="R60" s="152">
        <f t="shared" si="35"/>
        <v>0</v>
      </c>
      <c r="S60" s="173" t="str">
        <f t="shared" si="36"/>
        <v/>
      </c>
      <c r="T60" s="154">
        <f t="shared" si="37"/>
        <v>0</v>
      </c>
      <c r="U60" s="170" t="str">
        <f t="shared" si="38"/>
        <v/>
      </c>
    </row>
    <row r="61" spans="2:21" outlineLevel="1" x14ac:dyDescent="0.2">
      <c r="B61" s="116" t="s">
        <v>90</v>
      </c>
      <c r="F61" s="156" t="s">
        <v>209</v>
      </c>
      <c r="G61" s="166"/>
      <c r="H61" s="85"/>
      <c r="I61" s="83"/>
      <c r="J61" s="83"/>
      <c r="K61" s="229"/>
      <c r="L61" s="167">
        <f t="shared" si="30"/>
        <v>0</v>
      </c>
      <c r="M61" s="148">
        <f t="shared" si="31"/>
        <v>0</v>
      </c>
      <c r="N61" s="148">
        <f t="shared" si="32"/>
        <v>0</v>
      </c>
      <c r="O61" s="148">
        <f t="shared" si="33"/>
        <v>0</v>
      </c>
      <c r="P61" s="150">
        <f t="shared" si="34"/>
        <v>0</v>
      </c>
      <c r="Q61" s="151"/>
      <c r="R61" s="152">
        <f t="shared" si="35"/>
        <v>0</v>
      </c>
      <c r="S61" s="173" t="str">
        <f t="shared" si="36"/>
        <v/>
      </c>
      <c r="T61" s="154">
        <f t="shared" si="37"/>
        <v>0</v>
      </c>
      <c r="U61" s="170" t="str">
        <f t="shared" si="38"/>
        <v/>
      </c>
    </row>
    <row r="62" spans="2:21" outlineLevel="1" x14ac:dyDescent="0.2">
      <c r="B62" s="116" t="s">
        <v>88</v>
      </c>
      <c r="F62" s="156">
        <v>8231</v>
      </c>
      <c r="G62" s="166"/>
      <c r="H62" s="85"/>
      <c r="I62" s="83"/>
      <c r="J62" s="83"/>
      <c r="K62" s="229"/>
      <c r="L62" s="167">
        <f t="shared" si="30"/>
        <v>0</v>
      </c>
      <c r="M62" s="148">
        <f t="shared" si="31"/>
        <v>0</v>
      </c>
      <c r="N62" s="148">
        <f t="shared" si="32"/>
        <v>0</v>
      </c>
      <c r="O62" s="148">
        <f t="shared" si="33"/>
        <v>0</v>
      </c>
      <c r="P62" s="150">
        <f t="shared" si="34"/>
        <v>0</v>
      </c>
      <c r="Q62" s="151"/>
      <c r="R62" s="152">
        <f t="shared" si="35"/>
        <v>0</v>
      </c>
      <c r="S62" s="173" t="str">
        <f t="shared" si="36"/>
        <v/>
      </c>
      <c r="T62" s="154">
        <f t="shared" si="37"/>
        <v>0</v>
      </c>
      <c r="U62" s="170" t="str">
        <f t="shared" si="38"/>
        <v/>
      </c>
    </row>
    <row r="63" spans="2:21" outlineLevel="1" x14ac:dyDescent="0.2">
      <c r="B63" s="116" t="s">
        <v>11</v>
      </c>
      <c r="F63" s="156"/>
      <c r="G63" s="166">
        <f>1628.26+165</f>
        <v>1793.26</v>
      </c>
      <c r="H63" s="85">
        <v>-782.38</v>
      </c>
      <c r="I63" s="83">
        <f>-918.08+352</f>
        <v>-566.08000000000004</v>
      </c>
      <c r="J63" s="83">
        <f>-918.08+352+532.95</f>
        <v>-33.129999999999995</v>
      </c>
      <c r="K63" s="226">
        <f>-1151.73+1060.95</f>
        <v>-90.779999999999973</v>
      </c>
      <c r="L63" s="167">
        <f t="shared" si="30"/>
        <v>-782.38</v>
      </c>
      <c r="M63" s="148">
        <f t="shared" si="31"/>
        <v>216.29999999999995</v>
      </c>
      <c r="N63" s="148">
        <f t="shared" si="32"/>
        <v>532.95000000000005</v>
      </c>
      <c r="O63" s="148">
        <f t="shared" si="33"/>
        <v>-57.649999999999977</v>
      </c>
      <c r="P63" s="150">
        <f t="shared" si="34"/>
        <v>-90.779999999999973</v>
      </c>
      <c r="Q63" s="151">
        <v>1000</v>
      </c>
      <c r="R63" s="152">
        <f t="shared" si="35"/>
        <v>-1090.78</v>
      </c>
      <c r="S63" s="173">
        <f t="shared" si="36"/>
        <v>-9.0779999999999972E-2</v>
      </c>
      <c r="T63" s="154">
        <f t="shared" si="37"/>
        <v>-1884.04</v>
      </c>
      <c r="U63" s="170">
        <f t="shared" si="38"/>
        <v>-5.0622887924785011E-2</v>
      </c>
    </row>
    <row r="64" spans="2:21" outlineLevel="1" x14ac:dyDescent="0.2">
      <c r="B64" s="116" t="s">
        <v>12</v>
      </c>
      <c r="F64" s="156"/>
      <c r="G64" s="166">
        <v>640</v>
      </c>
      <c r="H64" s="85"/>
      <c r="I64" s="83">
        <v>304</v>
      </c>
      <c r="J64" s="83">
        <f>304+20</f>
        <v>324</v>
      </c>
      <c r="K64" s="226">
        <f>430+20</f>
        <v>450</v>
      </c>
      <c r="L64" s="167">
        <f t="shared" si="30"/>
        <v>0</v>
      </c>
      <c r="M64" s="148">
        <f t="shared" si="31"/>
        <v>304</v>
      </c>
      <c r="N64" s="148">
        <f t="shared" si="32"/>
        <v>20</v>
      </c>
      <c r="O64" s="148">
        <f t="shared" si="33"/>
        <v>126</v>
      </c>
      <c r="P64" s="150">
        <f t="shared" si="34"/>
        <v>450</v>
      </c>
      <c r="Q64" s="151">
        <v>600</v>
      </c>
      <c r="R64" s="152">
        <f t="shared" si="35"/>
        <v>-150</v>
      </c>
      <c r="S64" s="173">
        <f t="shared" si="36"/>
        <v>0.75</v>
      </c>
      <c r="T64" s="154">
        <f t="shared" si="37"/>
        <v>-190</v>
      </c>
      <c r="U64" s="170">
        <f t="shared" si="38"/>
        <v>0.703125</v>
      </c>
    </row>
    <row r="65" spans="1:21" outlineLevel="1" x14ac:dyDescent="0.2">
      <c r="B65" s="116" t="s">
        <v>91</v>
      </c>
      <c r="F65" s="156">
        <v>8232</v>
      </c>
      <c r="G65" s="166"/>
      <c r="H65" s="85"/>
      <c r="I65" s="83"/>
      <c r="J65" s="83"/>
      <c r="K65" s="229"/>
      <c r="L65" s="167">
        <f t="shared" si="30"/>
        <v>0</v>
      </c>
      <c r="M65" s="148">
        <f t="shared" si="31"/>
        <v>0</v>
      </c>
      <c r="N65" s="148">
        <f t="shared" si="32"/>
        <v>0</v>
      </c>
      <c r="O65" s="148">
        <f t="shared" si="33"/>
        <v>0</v>
      </c>
      <c r="P65" s="150">
        <f t="shared" si="34"/>
        <v>0</v>
      </c>
      <c r="Q65" s="151"/>
      <c r="R65" s="152">
        <f t="shared" si="35"/>
        <v>0</v>
      </c>
      <c r="S65" s="173" t="str">
        <f t="shared" si="36"/>
        <v/>
      </c>
      <c r="T65" s="154">
        <f t="shared" si="37"/>
        <v>0</v>
      </c>
      <c r="U65" s="170" t="str">
        <f t="shared" si="38"/>
        <v/>
      </c>
    </row>
    <row r="66" spans="1:21" outlineLevel="1" x14ac:dyDescent="0.2">
      <c r="B66" s="116" t="s">
        <v>94</v>
      </c>
      <c r="F66" s="156"/>
      <c r="G66" s="166">
        <v>937.5</v>
      </c>
      <c r="H66" s="85">
        <v>975</v>
      </c>
      <c r="I66" s="83">
        <v>975</v>
      </c>
      <c r="J66" s="83">
        <v>975</v>
      </c>
      <c r="K66" s="229">
        <v>1187</v>
      </c>
      <c r="L66" s="167">
        <f t="shared" si="30"/>
        <v>975</v>
      </c>
      <c r="M66" s="148">
        <f t="shared" si="31"/>
        <v>0</v>
      </c>
      <c r="N66" s="148">
        <f t="shared" si="32"/>
        <v>0</v>
      </c>
      <c r="O66" s="148">
        <f t="shared" si="33"/>
        <v>212</v>
      </c>
      <c r="P66" s="150">
        <f t="shared" si="34"/>
        <v>1187</v>
      </c>
      <c r="Q66" s="151">
        <v>2500</v>
      </c>
      <c r="R66" s="152">
        <f t="shared" si="35"/>
        <v>-1313</v>
      </c>
      <c r="S66" s="173">
        <f t="shared" si="36"/>
        <v>0.4748</v>
      </c>
      <c r="T66" s="154">
        <f t="shared" si="37"/>
        <v>249.5</v>
      </c>
      <c r="U66" s="170">
        <f t="shared" si="38"/>
        <v>1.2661333333333333</v>
      </c>
    </row>
    <row r="67" spans="1:21" outlineLevel="1" x14ac:dyDescent="0.2">
      <c r="B67" s="116" t="s">
        <v>101</v>
      </c>
      <c r="F67" s="156"/>
      <c r="G67" s="166">
        <v>50</v>
      </c>
      <c r="H67" s="85">
        <v>50</v>
      </c>
      <c r="I67" s="83">
        <v>50</v>
      </c>
      <c r="J67" s="83">
        <v>50</v>
      </c>
      <c r="K67" s="229">
        <v>50</v>
      </c>
      <c r="L67" s="167">
        <f t="shared" si="30"/>
        <v>50</v>
      </c>
      <c r="M67" s="148">
        <f t="shared" si="31"/>
        <v>0</v>
      </c>
      <c r="N67" s="148">
        <f t="shared" si="32"/>
        <v>0</v>
      </c>
      <c r="O67" s="148">
        <f t="shared" si="33"/>
        <v>0</v>
      </c>
      <c r="P67" s="150">
        <f t="shared" si="34"/>
        <v>50</v>
      </c>
      <c r="Q67" s="151">
        <v>50</v>
      </c>
      <c r="R67" s="152">
        <f t="shared" si="35"/>
        <v>0</v>
      </c>
      <c r="S67" s="173">
        <f t="shared" si="36"/>
        <v>1</v>
      </c>
      <c r="T67" s="154">
        <f t="shared" si="37"/>
        <v>0</v>
      </c>
      <c r="U67" s="170">
        <f t="shared" si="38"/>
        <v>1</v>
      </c>
    </row>
    <row r="68" spans="1:21" outlineLevel="1" x14ac:dyDescent="0.2">
      <c r="B68" s="116" t="s">
        <v>192</v>
      </c>
      <c r="E68" s="184" t="s">
        <v>412</v>
      </c>
      <c r="F68" s="156"/>
      <c r="G68" s="166">
        <f>G167</f>
        <v>200.39</v>
      </c>
      <c r="H68" s="85">
        <f>H167</f>
        <v>24</v>
      </c>
      <c r="I68" s="85">
        <f>I167</f>
        <v>307</v>
      </c>
      <c r="J68" s="83">
        <f>J167</f>
        <v>310</v>
      </c>
      <c r="K68" s="226">
        <f>K167</f>
        <v>328.25</v>
      </c>
      <c r="L68" s="167">
        <f t="shared" si="30"/>
        <v>24</v>
      </c>
      <c r="M68" s="148">
        <f t="shared" si="31"/>
        <v>283</v>
      </c>
      <c r="N68" s="148">
        <f t="shared" si="32"/>
        <v>3</v>
      </c>
      <c r="O68" s="148">
        <f t="shared" si="33"/>
        <v>18.25</v>
      </c>
      <c r="P68" s="150">
        <f t="shared" si="34"/>
        <v>328.25</v>
      </c>
      <c r="Q68" s="151">
        <f>Q167</f>
        <v>500</v>
      </c>
      <c r="R68" s="152">
        <f t="shared" si="35"/>
        <v>-171.75</v>
      </c>
      <c r="S68" s="173">
        <f t="shared" si="36"/>
        <v>0.65649999999999997</v>
      </c>
      <c r="T68" s="154">
        <f t="shared" si="37"/>
        <v>127.86000000000001</v>
      </c>
      <c r="U68" s="170">
        <f t="shared" si="38"/>
        <v>1.6380557912071463</v>
      </c>
    </row>
    <row r="69" spans="1:21" outlineLevel="1" x14ac:dyDescent="0.2">
      <c r="B69" s="116" t="s">
        <v>97</v>
      </c>
      <c r="F69" s="156"/>
      <c r="G69" s="166">
        <v>5658.02</v>
      </c>
      <c r="H69" s="85">
        <v>1639.86</v>
      </c>
      <c r="I69" s="83">
        <v>2186.48</v>
      </c>
      <c r="J69" s="83">
        <v>3862.08</v>
      </c>
      <c r="K69" s="229">
        <v>5286.33</v>
      </c>
      <c r="L69" s="167">
        <f t="shared" si="30"/>
        <v>1639.86</v>
      </c>
      <c r="M69" s="148">
        <f t="shared" si="31"/>
        <v>546.62000000000012</v>
      </c>
      <c r="N69" s="148">
        <f t="shared" si="32"/>
        <v>1675.6</v>
      </c>
      <c r="O69" s="148">
        <f t="shared" si="33"/>
        <v>1424.25</v>
      </c>
      <c r="P69" s="150">
        <f t="shared" si="34"/>
        <v>5286.33</v>
      </c>
      <c r="Q69" s="151">
        <v>7000</v>
      </c>
      <c r="R69" s="152">
        <f t="shared" si="35"/>
        <v>-1713.67</v>
      </c>
      <c r="S69" s="173">
        <f t="shared" si="36"/>
        <v>0.75519000000000003</v>
      </c>
      <c r="T69" s="154">
        <f t="shared" si="37"/>
        <v>-371.69000000000051</v>
      </c>
      <c r="U69" s="170">
        <f t="shared" si="38"/>
        <v>0.93430740789180655</v>
      </c>
    </row>
    <row r="70" spans="1:21" outlineLevel="1" x14ac:dyDescent="0.2">
      <c r="B70" s="116" t="s">
        <v>98</v>
      </c>
      <c r="F70" s="156"/>
      <c r="G70" s="166">
        <v>3688.89</v>
      </c>
      <c r="H70" s="85">
        <v>1392.04</v>
      </c>
      <c r="I70" s="83">
        <v>2057.15</v>
      </c>
      <c r="J70" s="83">
        <v>3103.44</v>
      </c>
      <c r="K70" s="229">
        <v>3755.59</v>
      </c>
      <c r="L70" s="167">
        <f t="shared" si="30"/>
        <v>1392.04</v>
      </c>
      <c r="M70" s="148">
        <f t="shared" si="31"/>
        <v>665.11000000000013</v>
      </c>
      <c r="N70" s="148">
        <f t="shared" si="32"/>
        <v>1046.29</v>
      </c>
      <c r="O70" s="148">
        <f t="shared" si="33"/>
        <v>652.15000000000009</v>
      </c>
      <c r="P70" s="150">
        <f t="shared" si="34"/>
        <v>3755.59</v>
      </c>
      <c r="Q70" s="151">
        <v>4000</v>
      </c>
      <c r="R70" s="152">
        <f t="shared" si="35"/>
        <v>-244.40999999999985</v>
      </c>
      <c r="S70" s="173">
        <f t="shared" si="36"/>
        <v>0.93889750000000005</v>
      </c>
      <c r="T70" s="154">
        <f t="shared" si="37"/>
        <v>66.700000000000273</v>
      </c>
      <c r="U70" s="170">
        <f t="shared" si="38"/>
        <v>1.0180813198550243</v>
      </c>
    </row>
    <row r="71" spans="1:21" outlineLevel="1" x14ac:dyDescent="0.2">
      <c r="B71" s="116" t="s">
        <v>414</v>
      </c>
      <c r="F71" s="156"/>
      <c r="G71" s="166"/>
      <c r="H71" s="85"/>
      <c r="I71" s="83"/>
      <c r="J71" s="83"/>
      <c r="K71" s="229"/>
      <c r="L71" s="167">
        <f>+H71</f>
        <v>0</v>
      </c>
      <c r="M71" s="148">
        <f>IF(I71=0,0,I71-H71)</f>
        <v>0</v>
      </c>
      <c r="N71" s="148">
        <f>IF(J71=0,0,J71-I71)</f>
        <v>0</v>
      </c>
      <c r="O71" s="148">
        <f>IF(K71=0,0,K71-J71)</f>
        <v>0</v>
      </c>
      <c r="P71" s="150">
        <f t="shared" si="34"/>
        <v>0</v>
      </c>
      <c r="Q71" s="151"/>
      <c r="R71" s="152">
        <f t="shared" si="35"/>
        <v>0</v>
      </c>
      <c r="S71" s="173" t="str">
        <f t="shared" si="36"/>
        <v/>
      </c>
      <c r="T71" s="154">
        <f>P71-G71</f>
        <v>0</v>
      </c>
      <c r="U71" s="170" t="str">
        <f t="shared" si="38"/>
        <v/>
      </c>
    </row>
    <row r="72" spans="1:21" outlineLevel="1" x14ac:dyDescent="0.2">
      <c r="B72" s="116" t="s">
        <v>93</v>
      </c>
      <c r="F72" s="156" t="s">
        <v>208</v>
      </c>
      <c r="G72" s="166">
        <v>450</v>
      </c>
      <c r="H72" s="87"/>
      <c r="I72" s="83"/>
      <c r="J72" s="83"/>
      <c r="K72" s="277">
        <v>159</v>
      </c>
      <c r="L72" s="167">
        <f>+H72</f>
        <v>0</v>
      </c>
      <c r="M72" s="148">
        <f>IF(I72=0,0,I72-H72)</f>
        <v>0</v>
      </c>
      <c r="N72" s="148">
        <f t="shared" si="32"/>
        <v>0</v>
      </c>
      <c r="O72" s="148">
        <f t="shared" si="33"/>
        <v>159</v>
      </c>
      <c r="P72" s="150">
        <f t="shared" si="34"/>
        <v>159</v>
      </c>
      <c r="Q72" s="151">
        <v>450</v>
      </c>
      <c r="R72" s="152">
        <f t="shared" si="35"/>
        <v>-291</v>
      </c>
      <c r="S72" s="173">
        <f t="shared" si="36"/>
        <v>0.35333333333333333</v>
      </c>
      <c r="T72" s="154">
        <f>P72-G72</f>
        <v>-291</v>
      </c>
      <c r="U72" s="170">
        <f t="shared" si="38"/>
        <v>0.35333333333333333</v>
      </c>
    </row>
    <row r="73" spans="1:21" outlineLevel="1" x14ac:dyDescent="0.2">
      <c r="B73" s="116" t="s">
        <v>447</v>
      </c>
      <c r="F73" s="156"/>
      <c r="G73" s="166"/>
      <c r="H73" s="85">
        <v>1500</v>
      </c>
      <c r="I73" s="83">
        <v>1500</v>
      </c>
      <c r="J73" s="83">
        <v>1500</v>
      </c>
      <c r="K73" s="226">
        <v>1500</v>
      </c>
      <c r="L73" s="167">
        <f>+H73</f>
        <v>1500</v>
      </c>
      <c r="M73" s="148">
        <f t="shared" si="31"/>
        <v>0</v>
      </c>
      <c r="N73" s="148">
        <f t="shared" si="32"/>
        <v>0</v>
      </c>
      <c r="O73" s="148">
        <f t="shared" si="33"/>
        <v>0</v>
      </c>
      <c r="P73" s="150">
        <f t="shared" si="34"/>
        <v>1500</v>
      </c>
      <c r="Q73" s="151"/>
      <c r="R73" s="152">
        <f t="shared" si="35"/>
        <v>1500</v>
      </c>
      <c r="S73" s="173" t="str">
        <f t="shared" si="36"/>
        <v/>
      </c>
      <c r="T73" s="154">
        <f>P73-G73</f>
        <v>1500</v>
      </c>
      <c r="U73" s="170" t="str">
        <f t="shared" si="38"/>
        <v/>
      </c>
    </row>
    <row r="74" spans="1:21" outlineLevel="1" x14ac:dyDescent="0.2">
      <c r="F74" s="156"/>
      <c r="G74" s="166"/>
      <c r="H74" s="85"/>
      <c r="I74" s="83"/>
      <c r="J74" s="83"/>
      <c r="K74" s="229"/>
      <c r="L74" s="167">
        <f t="shared" si="30"/>
        <v>0</v>
      </c>
      <c r="M74" s="148">
        <f t="shared" si="31"/>
        <v>0</v>
      </c>
      <c r="N74" s="148">
        <f t="shared" si="32"/>
        <v>0</v>
      </c>
      <c r="O74" s="148">
        <f t="shared" si="33"/>
        <v>0</v>
      </c>
      <c r="P74" s="150">
        <f t="shared" si="34"/>
        <v>0</v>
      </c>
      <c r="Q74" s="151"/>
      <c r="R74" s="152">
        <f t="shared" si="35"/>
        <v>0</v>
      </c>
      <c r="S74" s="173" t="str">
        <f t="shared" si="36"/>
        <v/>
      </c>
      <c r="T74" s="154">
        <f>P74-G74</f>
        <v>0</v>
      </c>
      <c r="U74" s="170" t="str">
        <f t="shared" si="38"/>
        <v/>
      </c>
    </row>
    <row r="75" spans="1:21" outlineLevel="1" x14ac:dyDescent="0.2">
      <c r="F75" s="156"/>
      <c r="G75" s="166"/>
      <c r="H75" s="85"/>
      <c r="I75" s="83"/>
      <c r="J75" s="83"/>
      <c r="K75" s="229"/>
      <c r="L75" s="167"/>
      <c r="M75" s="148"/>
      <c r="N75" s="148"/>
      <c r="O75" s="148"/>
      <c r="P75" s="150"/>
      <c r="Q75" s="151"/>
      <c r="R75" s="152"/>
      <c r="S75" s="173" t="str">
        <f t="shared" si="36"/>
        <v/>
      </c>
      <c r="T75" s="154"/>
      <c r="U75" s="170" t="str">
        <f t="shared" si="38"/>
        <v/>
      </c>
    </row>
    <row r="76" spans="1:21" x14ac:dyDescent="0.2">
      <c r="A76" s="118" t="s">
        <v>103</v>
      </c>
      <c r="F76" s="156"/>
      <c r="G76" s="175">
        <f>SUM(G48:G75)</f>
        <v>27688.31</v>
      </c>
      <c r="H76" s="86">
        <f>SUM(H48:H75)</f>
        <v>23298.2</v>
      </c>
      <c r="I76" s="86">
        <f>SUM(I48:I75)</f>
        <v>11287.38</v>
      </c>
      <c r="J76" s="86">
        <f>SUM(J48:J75)</f>
        <v>15892.09</v>
      </c>
      <c r="K76" s="243">
        <f>SUM(K48:K75)</f>
        <v>18643.88</v>
      </c>
      <c r="L76" s="177">
        <f t="shared" ref="L76:Q76" si="39">SUM(L48:L75)</f>
        <v>23298.2</v>
      </c>
      <c r="M76" s="176">
        <f t="shared" si="39"/>
        <v>-12010.82</v>
      </c>
      <c r="N76" s="176">
        <f t="shared" si="39"/>
        <v>4604.71</v>
      </c>
      <c r="O76" s="176">
        <f t="shared" si="39"/>
        <v>2751.79</v>
      </c>
      <c r="P76" s="178">
        <f t="shared" si="39"/>
        <v>18643.88</v>
      </c>
      <c r="Q76" s="179">
        <f t="shared" si="39"/>
        <v>27728</v>
      </c>
      <c r="R76" s="180">
        <f>SUM(R48:R75)</f>
        <v>-9084.119999999999</v>
      </c>
      <c r="S76" s="181">
        <f t="shared" si="36"/>
        <v>0.6723845931909983</v>
      </c>
      <c r="T76" s="182">
        <f>SUM(T48:T75)</f>
        <v>-9044.4299999999985</v>
      </c>
      <c r="U76" s="185">
        <f t="shared" si="38"/>
        <v>0.67334842754938817</v>
      </c>
    </row>
    <row r="77" spans="1:21" x14ac:dyDescent="0.2">
      <c r="F77" s="156"/>
      <c r="G77" s="166"/>
      <c r="H77" s="83"/>
      <c r="I77" s="83"/>
      <c r="J77" s="83"/>
      <c r="K77" s="15"/>
      <c r="L77" s="167"/>
      <c r="M77" s="148"/>
      <c r="N77" s="148"/>
      <c r="O77" s="148"/>
      <c r="P77" s="150"/>
      <c r="Q77" s="151"/>
      <c r="R77" s="152"/>
      <c r="S77" s="173"/>
      <c r="T77" s="154"/>
      <c r="U77" s="170"/>
    </row>
    <row r="78" spans="1:21" ht="13.2" thickBot="1" x14ac:dyDescent="0.25">
      <c r="A78" s="118" t="s">
        <v>104</v>
      </c>
      <c r="F78" s="156"/>
      <c r="G78" s="186">
        <f t="shared" ref="G78:R78" si="40">G45-G76</f>
        <v>22458.69</v>
      </c>
      <c r="H78" s="88">
        <f t="shared" si="40"/>
        <v>1541.7999999999993</v>
      </c>
      <c r="I78" s="88">
        <f t="shared" si="40"/>
        <v>15743.17</v>
      </c>
      <c r="J78" s="88">
        <f t="shared" si="40"/>
        <v>46023.48000000001</v>
      </c>
      <c r="K78" s="244">
        <f t="shared" si="40"/>
        <v>63425.939999999988</v>
      </c>
      <c r="L78" s="188">
        <f t="shared" si="40"/>
        <v>1541.7999999999993</v>
      </c>
      <c r="M78" s="187">
        <f t="shared" si="40"/>
        <v>14201.369999999999</v>
      </c>
      <c r="N78" s="187">
        <f t="shared" si="40"/>
        <v>30280.310000000005</v>
      </c>
      <c r="O78" s="187">
        <f t="shared" si="40"/>
        <v>17402.459999999995</v>
      </c>
      <c r="P78" s="189">
        <f t="shared" si="40"/>
        <v>63425.939999999988</v>
      </c>
      <c r="Q78" s="190">
        <f t="shared" si="40"/>
        <v>21172</v>
      </c>
      <c r="R78" s="191">
        <f t="shared" si="40"/>
        <v>42253.94</v>
      </c>
      <c r="S78" s="192">
        <f>IF(Q78=0,"",P78/Q78)</f>
        <v>2.995746268656716</v>
      </c>
      <c r="T78" s="193">
        <f>T45-T76</f>
        <v>40967.249999999993</v>
      </c>
      <c r="U78" s="194">
        <f>IF(G78=0,"",P78/G78)</f>
        <v>2.8241157431711286</v>
      </c>
    </row>
    <row r="79" spans="1:21" x14ac:dyDescent="0.2">
      <c r="F79" s="195"/>
      <c r="G79" s="166"/>
      <c r="H79" s="83"/>
      <c r="I79" s="83"/>
      <c r="J79" s="83"/>
      <c r="K79" s="15"/>
      <c r="L79" s="167"/>
      <c r="M79" s="148"/>
      <c r="N79" s="148"/>
      <c r="O79" s="148"/>
      <c r="P79" s="150"/>
      <c r="Q79" s="151"/>
      <c r="R79" s="152"/>
      <c r="S79" s="153"/>
      <c r="T79" s="154"/>
      <c r="U79" s="155"/>
    </row>
    <row r="80" spans="1:21" x14ac:dyDescent="0.2">
      <c r="A80" s="118" t="s">
        <v>354</v>
      </c>
      <c r="F80" s="195"/>
      <c r="G80" s="157">
        <f t="shared" ref="G80:Q80" si="41">SUM(G81:G84)</f>
        <v>1634.86</v>
      </c>
      <c r="H80" s="84">
        <f t="shared" si="41"/>
        <v>406.91</v>
      </c>
      <c r="I80" s="84">
        <f t="shared" si="41"/>
        <v>825.88</v>
      </c>
      <c r="J80" s="84">
        <f t="shared" si="41"/>
        <v>1241.0600000000002</v>
      </c>
      <c r="K80" s="241">
        <f t="shared" si="41"/>
        <v>1653.3400000000001</v>
      </c>
      <c r="L80" s="159">
        <f t="shared" si="41"/>
        <v>406.91</v>
      </c>
      <c r="M80" s="158">
        <f t="shared" si="41"/>
        <v>418.97</v>
      </c>
      <c r="N80" s="158">
        <f t="shared" si="41"/>
        <v>415.18000000000006</v>
      </c>
      <c r="O80" s="158">
        <f t="shared" si="41"/>
        <v>412.27999999999992</v>
      </c>
      <c r="P80" s="160">
        <f t="shared" si="41"/>
        <v>1653.3400000000001</v>
      </c>
      <c r="Q80" s="161">
        <f t="shared" si="41"/>
        <v>1740</v>
      </c>
      <c r="R80" s="162">
        <f>SUM(R82:R85)</f>
        <v>-86.659999999999968</v>
      </c>
      <c r="S80" s="171">
        <f t="shared" ref="S80:S86" si="42">IF(Q80=0,"",P80/Q80)</f>
        <v>0.95019540229885069</v>
      </c>
      <c r="T80" s="164">
        <f>SUM(T82:T85)</f>
        <v>18.4800000000001</v>
      </c>
      <c r="U80" s="227">
        <f t="shared" ref="U80:U86" si="43">IF(G80=0,"",P80/G80)</f>
        <v>1.0113037201962249</v>
      </c>
    </row>
    <row r="81" spans="1:21" outlineLevel="1" x14ac:dyDescent="0.2">
      <c r="B81" s="116" t="s">
        <v>105</v>
      </c>
      <c r="F81" s="195"/>
      <c r="G81" s="166"/>
      <c r="H81" s="83"/>
      <c r="I81" s="83"/>
      <c r="J81" s="83"/>
      <c r="K81" s="15"/>
      <c r="L81" s="167"/>
      <c r="M81" s="148"/>
      <c r="N81" s="148"/>
      <c r="O81" s="148"/>
      <c r="P81" s="150"/>
      <c r="Q81" s="151"/>
      <c r="R81" s="152"/>
      <c r="S81" s="173" t="str">
        <f t="shared" si="42"/>
        <v/>
      </c>
      <c r="T81" s="154"/>
      <c r="U81" s="170" t="str">
        <f t="shared" si="43"/>
        <v/>
      </c>
    </row>
    <row r="82" spans="1:21" outlineLevel="1" x14ac:dyDescent="0.2">
      <c r="C82" s="116" t="s">
        <v>352</v>
      </c>
      <c r="F82" s="195"/>
      <c r="G82" s="166">
        <v>1617.07</v>
      </c>
      <c r="H82" s="83">
        <f>402.42</f>
        <v>402.42</v>
      </c>
      <c r="I82" s="83">
        <v>816.85</v>
      </c>
      <c r="J82" s="83">
        <v>1226.3900000000001</v>
      </c>
      <c r="K82" s="229">
        <v>1632.71</v>
      </c>
      <c r="L82" s="167">
        <f>+H82</f>
        <v>402.42</v>
      </c>
      <c r="M82" s="148">
        <f t="shared" ref="M82:O86" si="44">IF(I82=0,0,I82-H82)</f>
        <v>414.43</v>
      </c>
      <c r="N82" s="148">
        <f t="shared" si="44"/>
        <v>409.54000000000008</v>
      </c>
      <c r="O82" s="148">
        <f t="shared" si="44"/>
        <v>406.31999999999994</v>
      </c>
      <c r="P82" s="150">
        <f>SUM(L82:O82)</f>
        <v>1632.71</v>
      </c>
      <c r="Q82" s="151">
        <v>1700</v>
      </c>
      <c r="R82" s="152">
        <f>P82-Q82</f>
        <v>-67.289999999999964</v>
      </c>
      <c r="S82" s="173">
        <f t="shared" si="42"/>
        <v>0.9604176470588236</v>
      </c>
      <c r="T82" s="154">
        <f>P82-G82</f>
        <v>15.6400000000001</v>
      </c>
      <c r="U82" s="170">
        <f t="shared" si="43"/>
        <v>1.0096718138361358</v>
      </c>
    </row>
    <row r="83" spans="1:21" outlineLevel="1" x14ac:dyDescent="0.2">
      <c r="B83" s="116" t="s">
        <v>353</v>
      </c>
      <c r="F83" s="195">
        <v>5310</v>
      </c>
      <c r="G83" s="166">
        <v>17.79</v>
      </c>
      <c r="H83" s="83">
        <v>4.49</v>
      </c>
      <c r="I83" s="83">
        <v>9.0299999999999994</v>
      </c>
      <c r="J83" s="83">
        <v>14.67</v>
      </c>
      <c r="K83" s="229">
        <f>18.89+1.74</f>
        <v>20.63</v>
      </c>
      <c r="L83" s="167">
        <f>+H83</f>
        <v>4.49</v>
      </c>
      <c r="M83" s="148">
        <f t="shared" si="44"/>
        <v>4.5399999999999991</v>
      </c>
      <c r="N83" s="148">
        <f t="shared" si="44"/>
        <v>5.6400000000000006</v>
      </c>
      <c r="O83" s="148">
        <f t="shared" si="44"/>
        <v>5.9599999999999991</v>
      </c>
      <c r="P83" s="150">
        <f>SUM(L83:O83)</f>
        <v>20.63</v>
      </c>
      <c r="Q83" s="151">
        <v>40</v>
      </c>
      <c r="R83" s="152">
        <f>P83-Q83</f>
        <v>-19.37</v>
      </c>
      <c r="S83" s="173">
        <f t="shared" si="42"/>
        <v>0.51574999999999993</v>
      </c>
      <c r="T83" s="154">
        <f>P83-G83</f>
        <v>2.84</v>
      </c>
      <c r="U83" s="170">
        <f t="shared" si="43"/>
        <v>1.1596402473299607</v>
      </c>
    </row>
    <row r="84" spans="1:21" outlineLevel="1" x14ac:dyDescent="0.2">
      <c r="F84" s="195"/>
      <c r="G84" s="166"/>
      <c r="H84" s="83"/>
      <c r="I84" s="83"/>
      <c r="J84" s="83"/>
      <c r="K84" s="15"/>
      <c r="L84" s="167">
        <f>+H84</f>
        <v>0</v>
      </c>
      <c r="M84" s="148">
        <f t="shared" si="44"/>
        <v>0</v>
      </c>
      <c r="N84" s="148">
        <f t="shared" si="44"/>
        <v>0</v>
      </c>
      <c r="O84" s="148">
        <f t="shared" si="44"/>
        <v>0</v>
      </c>
      <c r="P84" s="150">
        <f>SUM(L84:O84)</f>
        <v>0</v>
      </c>
      <c r="Q84" s="151"/>
      <c r="R84" s="152">
        <f>P84-Q84</f>
        <v>0</v>
      </c>
      <c r="S84" s="173" t="str">
        <f t="shared" si="42"/>
        <v/>
      </c>
      <c r="T84" s="154">
        <f>P84-G84</f>
        <v>0</v>
      </c>
      <c r="U84" s="170" t="str">
        <f t="shared" si="43"/>
        <v/>
      </c>
    </row>
    <row r="85" spans="1:21" x14ac:dyDescent="0.2">
      <c r="F85" s="195"/>
      <c r="G85" s="166"/>
      <c r="H85" s="83"/>
      <c r="I85" s="83"/>
      <c r="J85" s="83"/>
      <c r="K85" s="15"/>
      <c r="L85" s="167"/>
      <c r="M85" s="148"/>
      <c r="N85" s="148"/>
      <c r="O85" s="148"/>
      <c r="P85" s="150"/>
      <c r="Q85" s="151"/>
      <c r="R85" s="152"/>
      <c r="S85" s="173" t="str">
        <f t="shared" si="42"/>
        <v/>
      </c>
      <c r="T85" s="154"/>
      <c r="U85" s="170" t="str">
        <f t="shared" si="43"/>
        <v/>
      </c>
    </row>
    <row r="86" spans="1:21" x14ac:dyDescent="0.2">
      <c r="A86" s="118" t="s">
        <v>355</v>
      </c>
      <c r="F86" s="195"/>
      <c r="G86" s="157"/>
      <c r="H86" s="84"/>
      <c r="I86" s="84"/>
      <c r="J86" s="84"/>
      <c r="K86" s="241"/>
      <c r="L86" s="159">
        <f>+H86</f>
        <v>0</v>
      </c>
      <c r="M86" s="158">
        <f t="shared" si="44"/>
        <v>0</v>
      </c>
      <c r="N86" s="158">
        <f>IF(J86=0,0,J86-I86)</f>
        <v>0</v>
      </c>
      <c r="O86" s="158">
        <f>IF(K86=0,0,K86-J86)</f>
        <v>0</v>
      </c>
      <c r="P86" s="160">
        <f>SUM(L86:O86)</f>
        <v>0</v>
      </c>
      <c r="Q86" s="161">
        <v>0</v>
      </c>
      <c r="R86" s="162">
        <f>P86-Q86</f>
        <v>0</v>
      </c>
      <c r="S86" s="171" t="str">
        <f t="shared" si="42"/>
        <v/>
      </c>
      <c r="T86" s="164">
        <f>P86-G86</f>
        <v>0</v>
      </c>
      <c r="U86" s="227" t="str">
        <f t="shared" si="43"/>
        <v/>
      </c>
    </row>
    <row r="87" spans="1:21" x14ac:dyDescent="0.2">
      <c r="F87" s="195"/>
      <c r="G87" s="166"/>
      <c r="H87" s="83"/>
      <c r="I87" s="83"/>
      <c r="J87" s="83"/>
      <c r="K87" s="15"/>
      <c r="L87" s="167"/>
      <c r="M87" s="148"/>
      <c r="N87" s="148"/>
      <c r="O87" s="148"/>
      <c r="P87" s="150"/>
      <c r="Q87" s="151"/>
      <c r="R87" s="152"/>
      <c r="S87" s="173"/>
      <c r="T87" s="154"/>
      <c r="U87" s="170"/>
    </row>
    <row r="88" spans="1:21" ht="13.2" outlineLevel="1" thickBot="1" x14ac:dyDescent="0.25">
      <c r="A88" s="118" t="s">
        <v>195</v>
      </c>
      <c r="F88" s="195"/>
      <c r="G88" s="196">
        <f>G78+G80-G86</f>
        <v>24093.55</v>
      </c>
      <c r="H88" s="89">
        <f>H78+H80-H86</f>
        <v>1948.7099999999994</v>
      </c>
      <c r="I88" s="89">
        <f>I78+I80-I86</f>
        <v>16569.05</v>
      </c>
      <c r="J88" s="89">
        <f>J78+J80-J86</f>
        <v>47264.540000000008</v>
      </c>
      <c r="K88" s="245">
        <f>K78+K80-K86</f>
        <v>65079.279999999984</v>
      </c>
      <c r="L88" s="196">
        <f t="shared" ref="L88:R88" si="45">L78+L80-L86</f>
        <v>1948.7099999999994</v>
      </c>
      <c r="M88" s="197">
        <f t="shared" si="45"/>
        <v>14620.339999999998</v>
      </c>
      <c r="N88" s="197">
        <f t="shared" si="45"/>
        <v>30695.490000000005</v>
      </c>
      <c r="O88" s="197">
        <f t="shared" si="45"/>
        <v>17814.739999999994</v>
      </c>
      <c r="P88" s="189">
        <f t="shared" si="45"/>
        <v>65079.279999999984</v>
      </c>
      <c r="Q88" s="198">
        <f>Q78+Q80-Q86</f>
        <v>22912</v>
      </c>
      <c r="R88" s="198">
        <f t="shared" si="45"/>
        <v>42167.28</v>
      </c>
      <c r="S88" s="199">
        <f>IF(Q88=0,"",P88/Q88)</f>
        <v>2.8404015363128483</v>
      </c>
      <c r="T88" s="198">
        <f>T78+-T86</f>
        <v>40967.249999999993</v>
      </c>
      <c r="U88" s="200">
        <f>IF(G88=0,"",P88/G88)</f>
        <v>2.7011079728807084</v>
      </c>
    </row>
    <row r="89" spans="1:21" outlineLevel="1" x14ac:dyDescent="0.2">
      <c r="A89" s="118"/>
      <c r="F89" s="195"/>
      <c r="G89" s="201"/>
      <c r="H89" s="83"/>
      <c r="I89" s="83"/>
      <c r="J89" s="83"/>
      <c r="K89" s="15"/>
      <c r="L89" s="202"/>
      <c r="M89" s="203"/>
      <c r="N89" s="203"/>
      <c r="O89" s="148"/>
      <c r="P89" s="204"/>
      <c r="Q89" s="151"/>
      <c r="R89" s="152"/>
      <c r="S89" s="153"/>
      <c r="T89" s="154"/>
      <c r="U89" s="170"/>
    </row>
    <row r="90" spans="1:21" outlineLevel="1" x14ac:dyDescent="0.2">
      <c r="A90" s="118" t="s">
        <v>269</v>
      </c>
      <c r="F90" s="195"/>
      <c r="G90" s="201"/>
      <c r="H90" s="83"/>
      <c r="I90" s="83"/>
      <c r="J90" s="83"/>
      <c r="K90" s="15"/>
      <c r="L90" s="202"/>
      <c r="M90" s="203"/>
      <c r="N90" s="203"/>
      <c r="O90" s="148"/>
      <c r="P90" s="204"/>
      <c r="Q90" s="151"/>
      <c r="R90" s="152"/>
      <c r="S90" s="153"/>
      <c r="T90" s="154"/>
      <c r="U90" s="170"/>
    </row>
    <row r="91" spans="1:21" outlineLevel="1" x14ac:dyDescent="0.2">
      <c r="A91" s="118"/>
      <c r="B91" s="116" t="s">
        <v>270</v>
      </c>
      <c r="F91" s="195"/>
      <c r="G91" s="201"/>
      <c r="H91" s="83">
        <f>H132</f>
        <v>0</v>
      </c>
      <c r="I91" s="83">
        <f>I132</f>
        <v>0</v>
      </c>
      <c r="J91" s="83">
        <f>J132</f>
        <v>0</v>
      </c>
      <c r="K91" s="15">
        <f>K132</f>
        <v>0</v>
      </c>
      <c r="L91" s="202"/>
      <c r="M91" s="203"/>
      <c r="N91" s="203"/>
      <c r="O91" s="148"/>
      <c r="P91" s="150">
        <f>SUM(L91:O91)</f>
        <v>0</v>
      </c>
      <c r="Q91" s="151"/>
      <c r="R91" s="152">
        <f>P91-Q91</f>
        <v>0</v>
      </c>
      <c r="S91" s="173" t="str">
        <f>IF(Q91=0,"",P91/Q91)</f>
        <v/>
      </c>
      <c r="T91" s="154">
        <f>P91-G91</f>
        <v>0</v>
      </c>
      <c r="U91" s="170" t="str">
        <f>IF(G91=0,"",P91/G91)</f>
        <v/>
      </c>
    </row>
    <row r="92" spans="1:21" outlineLevel="1" x14ac:dyDescent="0.2">
      <c r="A92" s="118"/>
      <c r="B92" s="116" t="s">
        <v>255</v>
      </c>
      <c r="F92" s="195"/>
      <c r="G92" s="201"/>
      <c r="H92" s="83"/>
      <c r="I92" s="83"/>
      <c r="J92" s="83"/>
      <c r="K92" s="15"/>
      <c r="L92" s="202"/>
      <c r="M92" s="203"/>
      <c r="N92" s="203"/>
      <c r="O92" s="148"/>
      <c r="P92" s="150">
        <f>SUM(L92:O92)</f>
        <v>0</v>
      </c>
      <c r="Q92" s="151"/>
      <c r="R92" s="152">
        <f>P92-Q92</f>
        <v>0</v>
      </c>
      <c r="S92" s="173" t="str">
        <f>IF(Q92=0,"",P92/Q92)</f>
        <v/>
      </c>
      <c r="T92" s="154">
        <f>P92-G92</f>
        <v>0</v>
      </c>
      <c r="U92" s="170" t="str">
        <f>IF(G92=0,"",P92/G92)</f>
        <v/>
      </c>
    </row>
    <row r="93" spans="1:21" outlineLevel="1" x14ac:dyDescent="0.2">
      <c r="A93" s="118"/>
      <c r="F93" s="195"/>
      <c r="G93" s="201"/>
      <c r="H93" s="83"/>
      <c r="I93" s="83"/>
      <c r="J93" s="83"/>
      <c r="K93" s="15"/>
      <c r="L93" s="202"/>
      <c r="M93" s="203"/>
      <c r="N93" s="203"/>
      <c r="O93" s="148"/>
      <c r="P93" s="204"/>
      <c r="Q93" s="151"/>
      <c r="R93" s="152"/>
      <c r="S93" s="173"/>
      <c r="T93" s="154"/>
      <c r="U93" s="170"/>
    </row>
    <row r="94" spans="1:21" outlineLevel="1" x14ac:dyDescent="0.2">
      <c r="A94" s="118"/>
      <c r="B94" s="118" t="s">
        <v>271</v>
      </c>
      <c r="F94" s="195"/>
      <c r="G94" s="157">
        <f>+G91+G92</f>
        <v>0</v>
      </c>
      <c r="H94" s="84">
        <f>+H91+H92</f>
        <v>0</v>
      </c>
      <c r="I94" s="84">
        <f>+I91+I92</f>
        <v>0</v>
      </c>
      <c r="J94" s="84">
        <f>+J91+J92</f>
        <v>0</v>
      </c>
      <c r="K94" s="241">
        <f>+K91+K92</f>
        <v>0</v>
      </c>
      <c r="L94" s="159">
        <f t="shared" ref="L94:Q94" si="46">+L91+L92</f>
        <v>0</v>
      </c>
      <c r="M94" s="158">
        <f t="shared" si="46"/>
        <v>0</v>
      </c>
      <c r="N94" s="158">
        <f t="shared" si="46"/>
        <v>0</v>
      </c>
      <c r="O94" s="158">
        <f t="shared" si="46"/>
        <v>0</v>
      </c>
      <c r="P94" s="160">
        <f>SUM(L94:O94)</f>
        <v>0</v>
      </c>
      <c r="Q94" s="161">
        <f t="shared" si="46"/>
        <v>0</v>
      </c>
      <c r="R94" s="162">
        <f>R91+R92</f>
        <v>0</v>
      </c>
      <c r="S94" s="171" t="str">
        <f>IF(Q94=0,"",P94/Q94)</f>
        <v/>
      </c>
      <c r="T94" s="164">
        <f>T91+T92</f>
        <v>0</v>
      </c>
      <c r="U94" s="205" t="str">
        <f>IF(G94=0,"",P94/G94)</f>
        <v/>
      </c>
    </row>
    <row r="95" spans="1:21" outlineLevel="1" x14ac:dyDescent="0.2">
      <c r="A95" s="118"/>
      <c r="F95" s="195"/>
      <c r="G95" s="201"/>
      <c r="H95" s="83"/>
      <c r="I95" s="83"/>
      <c r="J95" s="83"/>
      <c r="K95" s="15"/>
      <c r="L95" s="202"/>
      <c r="M95" s="203"/>
      <c r="N95" s="203"/>
      <c r="O95" s="148"/>
      <c r="P95" s="204"/>
      <c r="Q95" s="151"/>
      <c r="R95" s="152"/>
      <c r="S95" s="173"/>
      <c r="T95" s="154"/>
      <c r="U95" s="206"/>
    </row>
    <row r="96" spans="1:21" ht="13.2" thickBot="1" x14ac:dyDescent="0.25">
      <c r="A96" s="118" t="s">
        <v>356</v>
      </c>
      <c r="F96" s="195"/>
      <c r="G96" s="207">
        <f t="shared" ref="G96:Q96" si="47">+G88-G94</f>
        <v>24093.55</v>
      </c>
      <c r="H96" s="253">
        <f t="shared" si="47"/>
        <v>1948.7099999999994</v>
      </c>
      <c r="I96" s="90">
        <f t="shared" si="47"/>
        <v>16569.05</v>
      </c>
      <c r="J96" s="90">
        <f t="shared" si="47"/>
        <v>47264.540000000008</v>
      </c>
      <c r="K96" s="246">
        <f t="shared" si="47"/>
        <v>65079.279999999984</v>
      </c>
      <c r="L96" s="207">
        <f t="shared" si="47"/>
        <v>1948.7099999999994</v>
      </c>
      <c r="M96" s="208">
        <f t="shared" si="47"/>
        <v>14620.339999999998</v>
      </c>
      <c r="N96" s="208">
        <f t="shared" si="47"/>
        <v>30695.490000000005</v>
      </c>
      <c r="O96" s="208">
        <f t="shared" si="47"/>
        <v>17814.739999999994</v>
      </c>
      <c r="P96" s="209">
        <f t="shared" si="47"/>
        <v>65079.279999999984</v>
      </c>
      <c r="Q96" s="210">
        <f t="shared" si="47"/>
        <v>22912</v>
      </c>
      <c r="R96" s="211">
        <f>R88-R94</f>
        <v>42167.28</v>
      </c>
      <c r="S96" s="212">
        <f>IF(Q96=0,"",P96/Q96)</f>
        <v>2.8404015363128483</v>
      </c>
      <c r="T96" s="213">
        <f>T88-T94</f>
        <v>40967.249999999993</v>
      </c>
      <c r="U96" s="214">
        <f>IF(G96=0,"",P96/G96)</f>
        <v>2.7011079728807084</v>
      </c>
    </row>
    <row r="97" spans="1:21" ht="13.2" thickTop="1" x14ac:dyDescent="0.2">
      <c r="F97" s="195"/>
      <c r="G97" s="166"/>
      <c r="H97" s="83"/>
      <c r="I97" s="83"/>
      <c r="J97" s="83"/>
      <c r="K97" s="15"/>
      <c r="L97" s="167"/>
      <c r="M97" s="148"/>
      <c r="N97" s="148"/>
      <c r="O97" s="148"/>
      <c r="P97" s="150"/>
      <c r="Q97" s="151"/>
      <c r="R97" s="152"/>
      <c r="S97" s="153"/>
      <c r="T97" s="154"/>
      <c r="U97" s="170"/>
    </row>
    <row r="98" spans="1:21" x14ac:dyDescent="0.2">
      <c r="A98" s="118" t="s">
        <v>14</v>
      </c>
      <c r="F98" s="195"/>
      <c r="G98" s="166"/>
      <c r="H98" s="83"/>
      <c r="I98" s="83"/>
      <c r="J98" s="83"/>
      <c r="K98" s="15"/>
      <c r="L98" s="167"/>
      <c r="M98" s="148"/>
      <c r="N98" s="148"/>
      <c r="O98" s="148"/>
      <c r="P98" s="150"/>
      <c r="Q98" s="151"/>
      <c r="R98" s="152"/>
      <c r="S98" s="153"/>
      <c r="T98" s="154"/>
      <c r="U98" s="170"/>
    </row>
    <row r="99" spans="1:21" x14ac:dyDescent="0.2">
      <c r="B99" s="116" t="s">
        <v>358</v>
      </c>
      <c r="F99" s="195"/>
      <c r="G99" s="166">
        <v>-12407</v>
      </c>
      <c r="H99" s="83"/>
      <c r="I99" s="83">
        <v>-8102</v>
      </c>
      <c r="J99" s="83">
        <v>-8102</v>
      </c>
      <c r="K99" s="83">
        <v>-8102</v>
      </c>
      <c r="L99" s="167">
        <f t="shared" ref="L99:L107" si="48">+H99</f>
        <v>0</v>
      </c>
      <c r="M99" s="148">
        <f t="shared" ref="M99:M107" si="49">IF(I99=0,0,I99-H99)</f>
        <v>-8102</v>
      </c>
      <c r="N99" s="148">
        <f t="shared" ref="N99:N107" si="50">IF(J99=0,0,J99-I99)</f>
        <v>0</v>
      </c>
      <c r="O99" s="148">
        <f t="shared" ref="O99:O107" si="51">IF(K99=0,0,K99-J99)</f>
        <v>0</v>
      </c>
      <c r="P99" s="150">
        <f t="shared" ref="P99:P107" si="52">SUM(L99:O99)</f>
        <v>-8102</v>
      </c>
      <c r="Q99" s="151">
        <v>-12000</v>
      </c>
      <c r="R99" s="152">
        <f t="shared" ref="R99:R107" si="53">P99-Q99</f>
        <v>3898</v>
      </c>
      <c r="S99" s="173">
        <f t="shared" ref="S99:S107" si="54">IF(Q99=0,"",P99/Q99)</f>
        <v>0.67516666666666669</v>
      </c>
      <c r="T99" s="154">
        <f t="shared" ref="T99:T107" si="55">P99-G99</f>
        <v>4305</v>
      </c>
      <c r="U99" s="170">
        <f t="shared" ref="U99:U107" si="56">IF(G99=0,"",P99/G99)</f>
        <v>0.65301845732247921</v>
      </c>
    </row>
    <row r="100" spans="1:21" x14ac:dyDescent="0.2">
      <c r="B100" s="116" t="s">
        <v>357</v>
      </c>
      <c r="F100" s="195">
        <v>5491</v>
      </c>
      <c r="G100" s="166">
        <v>-9305</v>
      </c>
      <c r="H100" s="83"/>
      <c r="I100" s="83"/>
      <c r="J100" s="85">
        <v>-6076</v>
      </c>
      <c r="K100" s="85">
        <v>-6076</v>
      </c>
      <c r="L100" s="167">
        <f t="shared" si="48"/>
        <v>0</v>
      </c>
      <c r="M100" s="148">
        <f t="shared" si="49"/>
        <v>0</v>
      </c>
      <c r="N100" s="148">
        <f t="shared" si="50"/>
        <v>-6076</v>
      </c>
      <c r="O100" s="148">
        <f t="shared" si="51"/>
        <v>0</v>
      </c>
      <c r="P100" s="150">
        <f t="shared" si="52"/>
        <v>-6076</v>
      </c>
      <c r="Q100" s="151">
        <v>-9200</v>
      </c>
      <c r="R100" s="152">
        <f t="shared" si="53"/>
        <v>3124</v>
      </c>
      <c r="S100" s="173">
        <f t="shared" si="54"/>
        <v>0.6604347826086957</v>
      </c>
      <c r="T100" s="154">
        <f t="shared" si="55"/>
        <v>3229</v>
      </c>
      <c r="U100" s="170">
        <f t="shared" si="56"/>
        <v>0.65298226759806555</v>
      </c>
    </row>
    <row r="101" spans="1:21" x14ac:dyDescent="0.2">
      <c r="B101" s="116" t="s">
        <v>359</v>
      </c>
      <c r="F101" s="195"/>
      <c r="G101" s="166">
        <v>-6000</v>
      </c>
      <c r="H101" s="83">
        <v>-6000</v>
      </c>
      <c r="I101" s="83">
        <v>-6000</v>
      </c>
      <c r="J101" s="83">
        <v>-6000</v>
      </c>
      <c r="K101" s="83">
        <v>-6000</v>
      </c>
      <c r="L101" s="167">
        <f t="shared" si="48"/>
        <v>-6000</v>
      </c>
      <c r="M101" s="148">
        <f t="shared" si="49"/>
        <v>0</v>
      </c>
      <c r="N101" s="148">
        <f t="shared" si="50"/>
        <v>0</v>
      </c>
      <c r="O101" s="148">
        <f t="shared" si="51"/>
        <v>0</v>
      </c>
      <c r="P101" s="150">
        <f t="shared" si="52"/>
        <v>-6000</v>
      </c>
      <c r="Q101" s="151">
        <v>-6000</v>
      </c>
      <c r="R101" s="152">
        <f t="shared" si="53"/>
        <v>0</v>
      </c>
      <c r="S101" s="173">
        <f t="shared" si="54"/>
        <v>1</v>
      </c>
      <c r="T101" s="154">
        <f t="shared" si="55"/>
        <v>0</v>
      </c>
      <c r="U101" s="170">
        <f t="shared" si="56"/>
        <v>1</v>
      </c>
    </row>
    <row r="102" spans="1:21" x14ac:dyDescent="0.2">
      <c r="B102" s="116" t="s">
        <v>267</v>
      </c>
      <c r="F102" s="195"/>
      <c r="G102" s="166"/>
      <c r="H102" s="83"/>
      <c r="I102" s="83"/>
      <c r="J102" s="83"/>
      <c r="K102" s="15"/>
      <c r="L102" s="167">
        <f t="shared" si="48"/>
        <v>0</v>
      </c>
      <c r="M102" s="148">
        <f t="shared" si="49"/>
        <v>0</v>
      </c>
      <c r="N102" s="148">
        <f t="shared" si="50"/>
        <v>0</v>
      </c>
      <c r="O102" s="148">
        <f t="shared" si="51"/>
        <v>0</v>
      </c>
      <c r="P102" s="150">
        <f t="shared" si="52"/>
        <v>0</v>
      </c>
      <c r="Q102" s="151"/>
      <c r="R102" s="152">
        <f t="shared" si="53"/>
        <v>0</v>
      </c>
      <c r="S102" s="173" t="str">
        <f t="shared" si="54"/>
        <v/>
      </c>
      <c r="T102" s="154">
        <f t="shared" si="55"/>
        <v>0</v>
      </c>
      <c r="U102" s="170" t="str">
        <f t="shared" si="56"/>
        <v/>
      </c>
    </row>
    <row r="103" spans="1:21" x14ac:dyDescent="0.2">
      <c r="B103" s="116" t="s">
        <v>268</v>
      </c>
      <c r="F103" s="195"/>
      <c r="G103" s="166"/>
      <c r="H103" s="83"/>
      <c r="I103" s="83"/>
      <c r="J103" s="83"/>
      <c r="K103" s="15">
        <v>-12500</v>
      </c>
      <c r="L103" s="167">
        <f t="shared" si="48"/>
        <v>0</v>
      </c>
      <c r="M103" s="148">
        <f t="shared" si="49"/>
        <v>0</v>
      </c>
      <c r="N103" s="148">
        <f t="shared" si="50"/>
        <v>0</v>
      </c>
      <c r="O103" s="148">
        <f t="shared" si="51"/>
        <v>-12500</v>
      </c>
      <c r="P103" s="150">
        <f t="shared" si="52"/>
        <v>-12500</v>
      </c>
      <c r="Q103" s="151"/>
      <c r="R103" s="152">
        <f t="shared" si="53"/>
        <v>-12500</v>
      </c>
      <c r="S103" s="173" t="str">
        <f t="shared" si="54"/>
        <v/>
      </c>
      <c r="T103" s="154">
        <f t="shared" si="55"/>
        <v>-12500</v>
      </c>
      <c r="U103" s="170" t="str">
        <f t="shared" si="56"/>
        <v/>
      </c>
    </row>
    <row r="104" spans="1:21" x14ac:dyDescent="0.2">
      <c r="B104" s="116" t="s">
        <v>361</v>
      </c>
      <c r="F104" s="195"/>
      <c r="G104" s="166"/>
      <c r="H104" s="83"/>
      <c r="I104" s="83"/>
      <c r="J104" s="83"/>
      <c r="K104" s="15"/>
      <c r="L104" s="167">
        <f t="shared" si="48"/>
        <v>0</v>
      </c>
      <c r="M104" s="148">
        <f t="shared" si="49"/>
        <v>0</v>
      </c>
      <c r="N104" s="148">
        <f t="shared" si="50"/>
        <v>0</v>
      </c>
      <c r="O104" s="148">
        <f t="shared" si="51"/>
        <v>0</v>
      </c>
      <c r="P104" s="150">
        <f t="shared" si="52"/>
        <v>0</v>
      </c>
      <c r="Q104" s="151"/>
      <c r="R104" s="152">
        <f t="shared" si="53"/>
        <v>0</v>
      </c>
      <c r="S104" s="173" t="str">
        <f t="shared" si="54"/>
        <v/>
      </c>
      <c r="T104" s="154">
        <f t="shared" si="55"/>
        <v>0</v>
      </c>
      <c r="U104" s="170" t="str">
        <f t="shared" si="56"/>
        <v/>
      </c>
    </row>
    <row r="105" spans="1:21" x14ac:dyDescent="0.2">
      <c r="B105" s="116" t="s">
        <v>215</v>
      </c>
      <c r="F105" s="195"/>
      <c r="G105" s="166"/>
      <c r="H105" s="83"/>
      <c r="I105" s="83"/>
      <c r="J105" s="83"/>
      <c r="K105" s="15"/>
      <c r="L105" s="167">
        <f t="shared" si="48"/>
        <v>0</v>
      </c>
      <c r="M105" s="148">
        <f t="shared" si="49"/>
        <v>0</v>
      </c>
      <c r="N105" s="148">
        <f t="shared" si="50"/>
        <v>0</v>
      </c>
      <c r="O105" s="148">
        <f t="shared" si="51"/>
        <v>0</v>
      </c>
      <c r="P105" s="150">
        <f t="shared" si="52"/>
        <v>0</v>
      </c>
      <c r="Q105" s="151"/>
      <c r="R105" s="152">
        <f t="shared" si="53"/>
        <v>0</v>
      </c>
      <c r="S105" s="173" t="str">
        <f t="shared" si="54"/>
        <v/>
      </c>
      <c r="T105" s="154">
        <f t="shared" si="55"/>
        <v>0</v>
      </c>
      <c r="U105" s="170" t="str">
        <f t="shared" si="56"/>
        <v/>
      </c>
    </row>
    <row r="106" spans="1:21" x14ac:dyDescent="0.2">
      <c r="B106" s="116" t="s">
        <v>68</v>
      </c>
      <c r="F106" s="195"/>
      <c r="G106" s="166"/>
      <c r="H106" s="83"/>
      <c r="I106" s="83"/>
      <c r="J106" s="83"/>
      <c r="K106" s="15"/>
      <c r="L106" s="167">
        <f t="shared" si="48"/>
        <v>0</v>
      </c>
      <c r="M106" s="148">
        <f t="shared" si="49"/>
        <v>0</v>
      </c>
      <c r="N106" s="148">
        <f t="shared" si="50"/>
        <v>0</v>
      </c>
      <c r="O106" s="148">
        <f t="shared" si="51"/>
        <v>0</v>
      </c>
      <c r="P106" s="150">
        <f t="shared" si="52"/>
        <v>0</v>
      </c>
      <c r="Q106" s="151"/>
      <c r="R106" s="152">
        <f t="shared" si="53"/>
        <v>0</v>
      </c>
      <c r="S106" s="173" t="str">
        <f t="shared" si="54"/>
        <v/>
      </c>
      <c r="T106" s="154">
        <f t="shared" si="55"/>
        <v>0</v>
      </c>
      <c r="U106" s="170" t="str">
        <f t="shared" si="56"/>
        <v/>
      </c>
    </row>
    <row r="107" spans="1:21" x14ac:dyDescent="0.2">
      <c r="B107" s="116" t="s">
        <v>67</v>
      </c>
      <c r="F107" s="195"/>
      <c r="G107" s="166"/>
      <c r="H107" s="83"/>
      <c r="I107" s="83"/>
      <c r="J107" s="83"/>
      <c r="K107" s="15"/>
      <c r="L107" s="167">
        <f t="shared" si="48"/>
        <v>0</v>
      </c>
      <c r="M107" s="148">
        <f t="shared" si="49"/>
        <v>0</v>
      </c>
      <c r="N107" s="148">
        <f t="shared" si="50"/>
        <v>0</v>
      </c>
      <c r="O107" s="148">
        <f t="shared" si="51"/>
        <v>0</v>
      </c>
      <c r="P107" s="150">
        <f t="shared" si="52"/>
        <v>0</v>
      </c>
      <c r="Q107" s="151"/>
      <c r="R107" s="152">
        <f t="shared" si="53"/>
        <v>0</v>
      </c>
      <c r="S107" s="173" t="str">
        <f t="shared" si="54"/>
        <v/>
      </c>
      <c r="T107" s="154">
        <f t="shared" si="55"/>
        <v>0</v>
      </c>
      <c r="U107" s="170" t="str">
        <f t="shared" si="56"/>
        <v/>
      </c>
    </row>
    <row r="108" spans="1:21" x14ac:dyDescent="0.2">
      <c r="F108" s="195"/>
      <c r="G108" s="166"/>
      <c r="H108" s="83"/>
      <c r="I108" s="83"/>
      <c r="J108" s="83"/>
      <c r="K108" s="15"/>
      <c r="L108" s="167"/>
      <c r="M108" s="148"/>
      <c r="N108" s="148"/>
      <c r="O108" s="148"/>
      <c r="P108" s="150"/>
      <c r="Q108" s="151"/>
      <c r="R108" s="152"/>
      <c r="S108" s="153"/>
      <c r="T108" s="154"/>
      <c r="U108" s="170"/>
    </row>
    <row r="109" spans="1:21" x14ac:dyDescent="0.2">
      <c r="B109" s="118" t="s">
        <v>216</v>
      </c>
      <c r="F109" s="195"/>
      <c r="G109" s="175">
        <f>SUM(G99:G108)</f>
        <v>-27712</v>
      </c>
      <c r="H109" s="86">
        <f>SUM(H99:H108)</f>
        <v>-6000</v>
      </c>
      <c r="I109" s="86">
        <f>SUM(I99:I108)</f>
        <v>-14102</v>
      </c>
      <c r="J109" s="86">
        <f>SUM(J99:J108)</f>
        <v>-20178</v>
      </c>
      <c r="K109" s="243">
        <f>SUM(K99:K108)</f>
        <v>-32678</v>
      </c>
      <c r="L109" s="177">
        <f t="shared" ref="L109:Q109" si="57">SUM(L99:L108)</f>
        <v>-6000</v>
      </c>
      <c r="M109" s="176">
        <f t="shared" si="57"/>
        <v>-8102</v>
      </c>
      <c r="N109" s="176">
        <f t="shared" si="57"/>
        <v>-6076</v>
      </c>
      <c r="O109" s="176">
        <f t="shared" si="57"/>
        <v>-12500</v>
      </c>
      <c r="P109" s="178">
        <f t="shared" si="57"/>
        <v>-32678</v>
      </c>
      <c r="Q109" s="179">
        <f t="shared" si="57"/>
        <v>-27200</v>
      </c>
      <c r="R109" s="180">
        <f>SUM(R99:R108)</f>
        <v>-5478</v>
      </c>
      <c r="S109" s="181">
        <f>IF(Q109=0,"",P109/Q109)</f>
        <v>1.2013970588235294</v>
      </c>
      <c r="T109" s="182">
        <f>SUM(T99:T108)</f>
        <v>-4966</v>
      </c>
      <c r="U109" s="183">
        <f>IF(G109=0,"",P109/G109)</f>
        <v>1.1792003464203233</v>
      </c>
    </row>
    <row r="110" spans="1:21" x14ac:dyDescent="0.2">
      <c r="F110" s="195"/>
      <c r="G110" s="166"/>
      <c r="H110" s="83"/>
      <c r="I110" s="83"/>
      <c r="J110" s="83"/>
      <c r="K110" s="15"/>
      <c r="L110" s="167"/>
      <c r="M110" s="148"/>
      <c r="N110" s="148"/>
      <c r="O110" s="148"/>
      <c r="P110" s="150"/>
      <c r="Q110" s="151"/>
      <c r="R110" s="152"/>
      <c r="S110" s="153"/>
      <c r="T110" s="154"/>
      <c r="U110" s="170"/>
    </row>
    <row r="111" spans="1:21" x14ac:dyDescent="0.2">
      <c r="F111" s="195"/>
      <c r="G111" s="166"/>
      <c r="H111" s="226"/>
      <c r="I111" s="83"/>
      <c r="J111" s="83"/>
      <c r="K111" s="15"/>
      <c r="L111" s="167"/>
      <c r="M111" s="148"/>
      <c r="N111" s="148"/>
      <c r="O111" s="148"/>
      <c r="P111" s="150"/>
      <c r="Q111" s="151"/>
      <c r="R111" s="152"/>
      <c r="S111" s="153"/>
      <c r="T111" s="154"/>
      <c r="U111" s="170"/>
    </row>
    <row r="112" spans="1:21" x14ac:dyDescent="0.2">
      <c r="F112" s="195"/>
      <c r="G112" s="166"/>
      <c r="H112" s="83"/>
      <c r="I112" s="83"/>
      <c r="J112" s="83"/>
      <c r="K112" s="15"/>
      <c r="L112" s="167"/>
      <c r="M112" s="148"/>
      <c r="N112" s="148"/>
      <c r="O112" s="148"/>
      <c r="P112" s="150"/>
      <c r="Q112" s="151"/>
      <c r="R112" s="152"/>
      <c r="S112" s="153"/>
      <c r="T112" s="154"/>
      <c r="U112" s="170"/>
    </row>
    <row r="113" spans="1:21" x14ac:dyDescent="0.2">
      <c r="A113" s="118" t="s">
        <v>217</v>
      </c>
      <c r="F113" s="195"/>
      <c r="G113" s="166"/>
      <c r="H113" s="83"/>
      <c r="I113" s="83"/>
      <c r="J113" s="83"/>
      <c r="K113" s="15"/>
      <c r="L113" s="167"/>
      <c r="M113" s="148"/>
      <c r="N113" s="148"/>
      <c r="O113" s="148"/>
      <c r="P113" s="150"/>
      <c r="Q113" s="151"/>
      <c r="R113" s="152"/>
      <c r="S113" s="153"/>
      <c r="T113" s="154"/>
      <c r="U113" s="170"/>
    </row>
    <row r="114" spans="1:21" outlineLevel="1" x14ac:dyDescent="0.2">
      <c r="A114" s="118"/>
      <c r="B114" s="118" t="s">
        <v>15</v>
      </c>
      <c r="F114" s="195"/>
      <c r="G114" s="166"/>
      <c r="H114" s="83"/>
      <c r="I114" s="83"/>
      <c r="J114" s="83"/>
      <c r="K114" s="15"/>
      <c r="L114" s="167"/>
      <c r="M114" s="148"/>
      <c r="N114" s="148"/>
      <c r="O114" s="148"/>
      <c r="P114" s="150"/>
      <c r="Q114" s="151"/>
      <c r="R114" s="152"/>
      <c r="S114" s="153"/>
      <c r="T114" s="154"/>
      <c r="U114" s="170"/>
    </row>
    <row r="115" spans="1:21" outlineLevel="1" x14ac:dyDescent="0.2">
      <c r="A115" s="118"/>
      <c r="C115" t="s">
        <v>273</v>
      </c>
      <c r="F115" s="195"/>
      <c r="G115" s="166"/>
      <c r="H115" s="83"/>
      <c r="I115" s="83"/>
      <c r="J115" s="83"/>
      <c r="K115" s="15"/>
      <c r="L115" s="167">
        <f t="shared" ref="L115:L130" si="58">+H115</f>
        <v>0</v>
      </c>
      <c r="M115" s="148">
        <f t="shared" ref="M115:M130" si="59">IF(I115=0,0,I115-H115)</f>
        <v>0</v>
      </c>
      <c r="N115" s="148">
        <f t="shared" ref="N115:N130" si="60">IF(J115=0,0,J115-I115)</f>
        <v>0</v>
      </c>
      <c r="O115" s="148">
        <f t="shared" ref="O115:O130" si="61">IF(K115=0,0,K115-J115)</f>
        <v>0</v>
      </c>
      <c r="P115" s="150">
        <f t="shared" ref="P115:P130" si="62">SUM(L115:O115)</f>
        <v>0</v>
      </c>
      <c r="Q115" s="151"/>
      <c r="R115" s="152">
        <f t="shared" ref="R115:R130" si="63">P115-Q115</f>
        <v>0</v>
      </c>
      <c r="S115" s="173" t="str">
        <f t="shared" ref="S115:S130" si="64">IF(Q115=0,"",P115/Q115)</f>
        <v/>
      </c>
      <c r="T115" s="154">
        <f t="shared" ref="T115:T130" si="65">P115-G115</f>
        <v>0</v>
      </c>
      <c r="U115" s="170" t="str">
        <f t="shared" ref="U115:U130" si="66">IF(G115=0,"",P115/G115)</f>
        <v/>
      </c>
    </row>
    <row r="116" spans="1:21" outlineLevel="1" x14ac:dyDescent="0.2">
      <c r="A116" s="118"/>
      <c r="C116" t="s">
        <v>274</v>
      </c>
      <c r="F116" s="195"/>
      <c r="G116" s="166"/>
      <c r="H116" s="83"/>
      <c r="I116" s="83"/>
      <c r="J116" s="83"/>
      <c r="K116" s="15"/>
      <c r="L116" s="167">
        <f t="shared" si="58"/>
        <v>0</v>
      </c>
      <c r="M116" s="148">
        <f t="shared" si="59"/>
        <v>0</v>
      </c>
      <c r="N116" s="148">
        <f t="shared" si="60"/>
        <v>0</v>
      </c>
      <c r="O116" s="148">
        <f t="shared" si="61"/>
        <v>0</v>
      </c>
      <c r="P116" s="150">
        <f t="shared" si="62"/>
        <v>0</v>
      </c>
      <c r="Q116" s="151"/>
      <c r="R116" s="152">
        <f t="shared" si="63"/>
        <v>0</v>
      </c>
      <c r="S116" s="173" t="str">
        <f t="shared" si="64"/>
        <v/>
      </c>
      <c r="T116" s="154">
        <f t="shared" si="65"/>
        <v>0</v>
      </c>
      <c r="U116" s="170" t="str">
        <f t="shared" si="66"/>
        <v/>
      </c>
    </row>
    <row r="117" spans="1:21" outlineLevel="1" x14ac:dyDescent="0.2">
      <c r="A117" s="118"/>
      <c r="C117" t="s">
        <v>275</v>
      </c>
      <c r="F117" s="195"/>
      <c r="G117" s="166"/>
      <c r="H117" s="83"/>
      <c r="I117" s="83"/>
      <c r="J117" s="83"/>
      <c r="K117" s="15"/>
      <c r="L117" s="167">
        <f t="shared" si="58"/>
        <v>0</v>
      </c>
      <c r="M117" s="148">
        <f t="shared" si="59"/>
        <v>0</v>
      </c>
      <c r="N117" s="148">
        <f t="shared" si="60"/>
        <v>0</v>
      </c>
      <c r="O117" s="148">
        <f t="shared" si="61"/>
        <v>0</v>
      </c>
      <c r="P117" s="150">
        <f t="shared" si="62"/>
        <v>0</v>
      </c>
      <c r="Q117" s="151"/>
      <c r="R117" s="152">
        <f t="shared" si="63"/>
        <v>0</v>
      </c>
      <c r="S117" s="173" t="str">
        <f t="shared" si="64"/>
        <v/>
      </c>
      <c r="T117" s="154">
        <f t="shared" si="65"/>
        <v>0</v>
      </c>
      <c r="U117" s="170" t="str">
        <f t="shared" si="66"/>
        <v/>
      </c>
    </row>
    <row r="118" spans="1:21" outlineLevel="1" x14ac:dyDescent="0.2">
      <c r="A118" s="118"/>
      <c r="C118" s="116" t="s">
        <v>276</v>
      </c>
      <c r="F118" s="195"/>
      <c r="G118" s="166"/>
      <c r="H118" s="83"/>
      <c r="I118" s="83"/>
      <c r="J118" s="83"/>
      <c r="K118" s="15"/>
      <c r="L118" s="167">
        <f t="shared" si="58"/>
        <v>0</v>
      </c>
      <c r="M118" s="148">
        <f t="shared" si="59"/>
        <v>0</v>
      </c>
      <c r="N118" s="148">
        <f t="shared" si="60"/>
        <v>0</v>
      </c>
      <c r="O118" s="148">
        <f t="shared" si="61"/>
        <v>0</v>
      </c>
      <c r="P118" s="150">
        <f t="shared" si="62"/>
        <v>0</v>
      </c>
      <c r="Q118" s="151"/>
      <c r="R118" s="152">
        <f t="shared" si="63"/>
        <v>0</v>
      </c>
      <c r="S118" s="173" t="str">
        <f t="shared" si="64"/>
        <v/>
      </c>
      <c r="T118" s="154">
        <f t="shared" si="65"/>
        <v>0</v>
      </c>
      <c r="U118" s="170" t="str">
        <f t="shared" si="66"/>
        <v/>
      </c>
    </row>
    <row r="119" spans="1:21" outlineLevel="1" x14ac:dyDescent="0.2">
      <c r="A119" s="118"/>
      <c r="C119" s="116" t="s">
        <v>277</v>
      </c>
      <c r="F119" s="195"/>
      <c r="G119" s="166"/>
      <c r="H119" s="83"/>
      <c r="I119" s="83"/>
      <c r="J119" s="83"/>
      <c r="K119" s="15"/>
      <c r="L119" s="167">
        <f t="shared" si="58"/>
        <v>0</v>
      </c>
      <c r="M119" s="148">
        <f t="shared" si="59"/>
        <v>0</v>
      </c>
      <c r="N119" s="148">
        <f t="shared" si="60"/>
        <v>0</v>
      </c>
      <c r="O119" s="148">
        <f t="shared" si="61"/>
        <v>0</v>
      </c>
      <c r="P119" s="150">
        <f t="shared" si="62"/>
        <v>0</v>
      </c>
      <c r="Q119" s="151"/>
      <c r="R119" s="152">
        <f t="shared" si="63"/>
        <v>0</v>
      </c>
      <c r="S119" s="173" t="str">
        <f t="shared" si="64"/>
        <v/>
      </c>
      <c r="T119" s="154">
        <f t="shared" si="65"/>
        <v>0</v>
      </c>
      <c r="U119" s="170" t="str">
        <f t="shared" si="66"/>
        <v/>
      </c>
    </row>
    <row r="120" spans="1:21" outlineLevel="1" x14ac:dyDescent="0.2">
      <c r="A120" s="118"/>
      <c r="C120" s="116" t="s">
        <v>278</v>
      </c>
      <c r="F120" s="195"/>
      <c r="G120" s="166"/>
      <c r="H120" s="83"/>
      <c r="I120" s="83"/>
      <c r="J120" s="83"/>
      <c r="K120" s="15"/>
      <c r="L120" s="167">
        <f t="shared" si="58"/>
        <v>0</v>
      </c>
      <c r="M120" s="148">
        <f t="shared" si="59"/>
        <v>0</v>
      </c>
      <c r="N120" s="148">
        <f t="shared" si="60"/>
        <v>0</v>
      </c>
      <c r="O120" s="148">
        <f t="shared" si="61"/>
        <v>0</v>
      </c>
      <c r="P120" s="150">
        <f t="shared" si="62"/>
        <v>0</v>
      </c>
      <c r="Q120" s="151"/>
      <c r="R120" s="152">
        <f t="shared" si="63"/>
        <v>0</v>
      </c>
      <c r="S120" s="173" t="str">
        <f t="shared" si="64"/>
        <v/>
      </c>
      <c r="T120" s="154">
        <f t="shared" si="65"/>
        <v>0</v>
      </c>
      <c r="U120" s="170" t="str">
        <f t="shared" si="66"/>
        <v/>
      </c>
    </row>
    <row r="121" spans="1:21" outlineLevel="1" x14ac:dyDescent="0.2">
      <c r="A121" s="118"/>
      <c r="C121" s="116" t="s">
        <v>279</v>
      </c>
      <c r="F121" s="195"/>
      <c r="G121" s="166"/>
      <c r="H121" s="83"/>
      <c r="I121" s="83"/>
      <c r="J121" s="83"/>
      <c r="K121" s="15"/>
      <c r="L121" s="167">
        <f t="shared" si="58"/>
        <v>0</v>
      </c>
      <c r="M121" s="148">
        <f t="shared" si="59"/>
        <v>0</v>
      </c>
      <c r="N121" s="148">
        <f t="shared" si="60"/>
        <v>0</v>
      </c>
      <c r="O121" s="148">
        <f t="shared" si="61"/>
        <v>0</v>
      </c>
      <c r="P121" s="150">
        <f t="shared" si="62"/>
        <v>0</v>
      </c>
      <c r="Q121" s="151"/>
      <c r="R121" s="152">
        <f t="shared" si="63"/>
        <v>0</v>
      </c>
      <c r="S121" s="173" t="str">
        <f t="shared" si="64"/>
        <v/>
      </c>
      <c r="T121" s="154">
        <f t="shared" si="65"/>
        <v>0</v>
      </c>
      <c r="U121" s="170" t="str">
        <f t="shared" si="66"/>
        <v/>
      </c>
    </row>
    <row r="122" spans="1:21" outlineLevel="1" x14ac:dyDescent="0.2">
      <c r="A122" s="118"/>
      <c r="C122" s="116" t="s">
        <v>280</v>
      </c>
      <c r="F122" s="195"/>
      <c r="G122" s="166"/>
      <c r="H122" s="83"/>
      <c r="I122" s="83"/>
      <c r="J122" s="83"/>
      <c r="K122" s="15"/>
      <c r="L122" s="167">
        <f t="shared" si="58"/>
        <v>0</v>
      </c>
      <c r="M122" s="148">
        <f t="shared" si="59"/>
        <v>0</v>
      </c>
      <c r="N122" s="148">
        <f t="shared" si="60"/>
        <v>0</v>
      </c>
      <c r="O122" s="148">
        <f t="shared" si="61"/>
        <v>0</v>
      </c>
      <c r="P122" s="150">
        <f t="shared" si="62"/>
        <v>0</v>
      </c>
      <c r="Q122" s="151"/>
      <c r="R122" s="152">
        <f t="shared" si="63"/>
        <v>0</v>
      </c>
      <c r="S122" s="173" t="str">
        <f t="shared" si="64"/>
        <v/>
      </c>
      <c r="T122" s="154">
        <f t="shared" si="65"/>
        <v>0</v>
      </c>
      <c r="U122" s="170" t="str">
        <f t="shared" si="66"/>
        <v/>
      </c>
    </row>
    <row r="123" spans="1:21" outlineLevel="1" x14ac:dyDescent="0.2">
      <c r="A123" s="118"/>
      <c r="C123" s="116" t="s">
        <v>281</v>
      </c>
      <c r="F123" s="195"/>
      <c r="G123" s="166"/>
      <c r="H123" s="83"/>
      <c r="I123" s="83"/>
      <c r="J123" s="83"/>
      <c r="K123" s="15"/>
      <c r="L123" s="167">
        <f t="shared" si="58"/>
        <v>0</v>
      </c>
      <c r="M123" s="148">
        <f t="shared" si="59"/>
        <v>0</v>
      </c>
      <c r="N123" s="148">
        <f t="shared" si="60"/>
        <v>0</v>
      </c>
      <c r="O123" s="148">
        <f t="shared" si="61"/>
        <v>0</v>
      </c>
      <c r="P123" s="150">
        <f t="shared" si="62"/>
        <v>0</v>
      </c>
      <c r="Q123" s="151"/>
      <c r="R123" s="152">
        <f t="shared" si="63"/>
        <v>0</v>
      </c>
      <c r="S123" s="173" t="str">
        <f t="shared" si="64"/>
        <v/>
      </c>
      <c r="T123" s="154">
        <f t="shared" si="65"/>
        <v>0</v>
      </c>
      <c r="U123" s="170" t="str">
        <f t="shared" si="66"/>
        <v/>
      </c>
    </row>
    <row r="124" spans="1:21" outlineLevel="1" x14ac:dyDescent="0.2">
      <c r="A124" s="118"/>
      <c r="C124" s="116" t="s">
        <v>109</v>
      </c>
      <c r="F124" s="195"/>
      <c r="G124" s="166"/>
      <c r="H124" s="83"/>
      <c r="I124" s="83"/>
      <c r="J124" s="83"/>
      <c r="K124" s="15"/>
      <c r="L124" s="167">
        <f t="shared" ref="L124:L129" si="67">+H124</f>
        <v>0</v>
      </c>
      <c r="M124" s="148">
        <f t="shared" ref="M124:M129" si="68">IF(I124=0,0,I124-H124)</f>
        <v>0</v>
      </c>
      <c r="N124" s="148">
        <f t="shared" ref="N124:N129" si="69">IF(J124=0,0,J124-I124)</f>
        <v>0</v>
      </c>
      <c r="O124" s="148">
        <f t="shared" ref="O124:O129" si="70">IF(K124=0,0,K124-J124)</f>
        <v>0</v>
      </c>
      <c r="P124" s="150">
        <f t="shared" si="62"/>
        <v>0</v>
      </c>
      <c r="Q124" s="151"/>
      <c r="R124" s="152">
        <f t="shared" si="63"/>
        <v>0</v>
      </c>
      <c r="S124" s="173" t="str">
        <f t="shared" si="64"/>
        <v/>
      </c>
      <c r="T124" s="154">
        <f t="shared" si="65"/>
        <v>0</v>
      </c>
      <c r="U124" s="170" t="str">
        <f t="shared" si="66"/>
        <v/>
      </c>
    </row>
    <row r="125" spans="1:21" outlineLevel="1" x14ac:dyDescent="0.2">
      <c r="A125" s="118"/>
      <c r="C125" s="116" t="s">
        <v>110</v>
      </c>
      <c r="F125" s="195"/>
      <c r="G125" s="166"/>
      <c r="H125" s="83"/>
      <c r="I125" s="83"/>
      <c r="J125" s="83"/>
      <c r="K125" s="15"/>
      <c r="L125" s="167">
        <f t="shared" si="67"/>
        <v>0</v>
      </c>
      <c r="M125" s="148">
        <f t="shared" si="68"/>
        <v>0</v>
      </c>
      <c r="N125" s="148">
        <f t="shared" si="69"/>
        <v>0</v>
      </c>
      <c r="O125" s="148">
        <f t="shared" si="70"/>
        <v>0</v>
      </c>
      <c r="P125" s="150">
        <f t="shared" si="62"/>
        <v>0</v>
      </c>
      <c r="Q125" s="151"/>
      <c r="R125" s="152">
        <f t="shared" si="63"/>
        <v>0</v>
      </c>
      <c r="S125" s="173" t="str">
        <f t="shared" si="64"/>
        <v/>
      </c>
      <c r="T125" s="154">
        <f t="shared" si="65"/>
        <v>0</v>
      </c>
      <c r="U125" s="170" t="str">
        <f t="shared" si="66"/>
        <v/>
      </c>
    </row>
    <row r="126" spans="1:21" outlineLevel="1" x14ac:dyDescent="0.2">
      <c r="A126" s="118"/>
      <c r="C126" s="116" t="s">
        <v>111</v>
      </c>
      <c r="F126" s="195"/>
      <c r="G126" s="166"/>
      <c r="H126" s="83"/>
      <c r="I126" s="83"/>
      <c r="J126" s="83"/>
      <c r="K126" s="15"/>
      <c r="L126" s="167">
        <f t="shared" si="67"/>
        <v>0</v>
      </c>
      <c r="M126" s="148">
        <f t="shared" si="68"/>
        <v>0</v>
      </c>
      <c r="N126" s="148">
        <f t="shared" si="69"/>
        <v>0</v>
      </c>
      <c r="O126" s="148">
        <f t="shared" si="70"/>
        <v>0</v>
      </c>
      <c r="P126" s="150">
        <f t="shared" si="62"/>
        <v>0</v>
      </c>
      <c r="Q126" s="151"/>
      <c r="R126" s="152">
        <f t="shared" si="63"/>
        <v>0</v>
      </c>
      <c r="S126" s="173" t="str">
        <f t="shared" si="64"/>
        <v/>
      </c>
      <c r="T126" s="154">
        <f t="shared" si="65"/>
        <v>0</v>
      </c>
      <c r="U126" s="170" t="str">
        <f t="shared" si="66"/>
        <v/>
      </c>
    </row>
    <row r="127" spans="1:21" outlineLevel="1" x14ac:dyDescent="0.2">
      <c r="A127" s="118"/>
      <c r="C127" s="116" t="s">
        <v>112</v>
      </c>
      <c r="F127" s="195"/>
      <c r="G127" s="166"/>
      <c r="H127" s="83"/>
      <c r="I127" s="83"/>
      <c r="J127" s="83"/>
      <c r="K127" s="15"/>
      <c r="L127" s="167">
        <f t="shared" si="67"/>
        <v>0</v>
      </c>
      <c r="M127" s="148">
        <f t="shared" si="68"/>
        <v>0</v>
      </c>
      <c r="N127" s="148">
        <f t="shared" si="69"/>
        <v>0</v>
      </c>
      <c r="O127" s="148">
        <f t="shared" si="70"/>
        <v>0</v>
      </c>
      <c r="P127" s="150">
        <f t="shared" si="62"/>
        <v>0</v>
      </c>
      <c r="Q127" s="151"/>
      <c r="R127" s="152">
        <f t="shared" si="63"/>
        <v>0</v>
      </c>
      <c r="S127" s="173" t="str">
        <f t="shared" si="64"/>
        <v/>
      </c>
      <c r="T127" s="154">
        <f t="shared" si="65"/>
        <v>0</v>
      </c>
      <c r="U127" s="170" t="str">
        <f t="shared" si="66"/>
        <v/>
      </c>
    </row>
    <row r="128" spans="1:21" outlineLevel="1" x14ac:dyDescent="0.2">
      <c r="A128" s="118"/>
      <c r="C128" s="116" t="s">
        <v>113</v>
      </c>
      <c r="F128" s="195"/>
      <c r="G128" s="166"/>
      <c r="H128" s="83"/>
      <c r="I128" s="83"/>
      <c r="J128" s="83"/>
      <c r="K128" s="15"/>
      <c r="L128" s="167">
        <f t="shared" si="67"/>
        <v>0</v>
      </c>
      <c r="M128" s="148">
        <f t="shared" si="68"/>
        <v>0</v>
      </c>
      <c r="N128" s="148">
        <f t="shared" si="69"/>
        <v>0</v>
      </c>
      <c r="O128" s="148">
        <f t="shared" si="70"/>
        <v>0</v>
      </c>
      <c r="P128" s="150">
        <f t="shared" si="62"/>
        <v>0</v>
      </c>
      <c r="Q128" s="151"/>
      <c r="R128" s="152">
        <f t="shared" si="63"/>
        <v>0</v>
      </c>
      <c r="S128" s="173" t="str">
        <f t="shared" si="64"/>
        <v/>
      </c>
      <c r="T128" s="154">
        <f t="shared" si="65"/>
        <v>0</v>
      </c>
      <c r="U128" s="170" t="str">
        <f t="shared" si="66"/>
        <v/>
      </c>
    </row>
    <row r="129" spans="1:21" outlineLevel="1" x14ac:dyDescent="0.2">
      <c r="A129" s="118"/>
      <c r="C129" s="116" t="s">
        <v>114</v>
      </c>
      <c r="F129" s="195"/>
      <c r="G129" s="166"/>
      <c r="H129" s="83"/>
      <c r="I129" s="83"/>
      <c r="J129" s="83"/>
      <c r="K129" s="15"/>
      <c r="L129" s="167">
        <f t="shared" si="67"/>
        <v>0</v>
      </c>
      <c r="M129" s="148">
        <f t="shared" si="68"/>
        <v>0</v>
      </c>
      <c r="N129" s="148">
        <f t="shared" si="69"/>
        <v>0</v>
      </c>
      <c r="O129" s="148">
        <f t="shared" si="70"/>
        <v>0</v>
      </c>
      <c r="P129" s="150">
        <f t="shared" si="62"/>
        <v>0</v>
      </c>
      <c r="Q129" s="151"/>
      <c r="R129" s="152">
        <f t="shared" si="63"/>
        <v>0</v>
      </c>
      <c r="S129" s="173" t="str">
        <f t="shared" si="64"/>
        <v/>
      </c>
      <c r="T129" s="154">
        <f t="shared" si="65"/>
        <v>0</v>
      </c>
      <c r="U129" s="170" t="str">
        <f t="shared" si="66"/>
        <v/>
      </c>
    </row>
    <row r="130" spans="1:21" outlineLevel="1" x14ac:dyDescent="0.2">
      <c r="A130" s="118"/>
      <c r="F130" s="195"/>
      <c r="G130" s="166"/>
      <c r="H130" s="83"/>
      <c r="I130" s="83"/>
      <c r="J130" s="83"/>
      <c r="K130" s="15"/>
      <c r="L130" s="167">
        <f t="shared" si="58"/>
        <v>0</v>
      </c>
      <c r="M130" s="148">
        <f t="shared" si="59"/>
        <v>0</v>
      </c>
      <c r="N130" s="148">
        <f t="shared" si="60"/>
        <v>0</v>
      </c>
      <c r="O130" s="148">
        <f t="shared" si="61"/>
        <v>0</v>
      </c>
      <c r="P130" s="150">
        <f t="shared" si="62"/>
        <v>0</v>
      </c>
      <c r="Q130" s="151"/>
      <c r="R130" s="152">
        <f t="shared" si="63"/>
        <v>0</v>
      </c>
      <c r="S130" s="173" t="str">
        <f t="shared" si="64"/>
        <v/>
      </c>
      <c r="T130" s="154">
        <f t="shared" si="65"/>
        <v>0</v>
      </c>
      <c r="U130" s="170" t="str">
        <f t="shared" si="66"/>
        <v/>
      </c>
    </row>
    <row r="131" spans="1:21" outlineLevel="1" x14ac:dyDescent="0.2">
      <c r="A131" s="118"/>
      <c r="F131" s="195"/>
      <c r="G131" s="166"/>
      <c r="H131" s="83"/>
      <c r="I131" s="83"/>
      <c r="J131" s="83"/>
      <c r="K131" s="15"/>
      <c r="L131" s="167"/>
      <c r="M131" s="148"/>
      <c r="N131" s="148"/>
      <c r="O131" s="148"/>
      <c r="P131" s="150"/>
      <c r="Q131" s="151"/>
      <c r="R131" s="152"/>
      <c r="S131" s="153"/>
      <c r="T131" s="154"/>
      <c r="U131" s="170"/>
    </row>
    <row r="132" spans="1:21" x14ac:dyDescent="0.2">
      <c r="A132" s="118"/>
      <c r="C132" s="118" t="s">
        <v>137</v>
      </c>
      <c r="F132" s="195"/>
      <c r="G132" s="157">
        <f>SUM(G115:G131)</f>
        <v>0</v>
      </c>
      <c r="H132" s="84">
        <f>SUM(H115:H131)</f>
        <v>0</v>
      </c>
      <c r="I132" s="84">
        <f>SUM(I115:I131)</f>
        <v>0</v>
      </c>
      <c r="J132" s="84">
        <f>SUM(J115:J131)</f>
        <v>0</v>
      </c>
      <c r="K132" s="241">
        <f>SUM(K115:K131)</f>
        <v>0</v>
      </c>
      <c r="L132" s="159">
        <f t="shared" ref="L132:Q132" si="71">SUM(L115:L131)</f>
        <v>0</v>
      </c>
      <c r="M132" s="158">
        <f t="shared" si="71"/>
        <v>0</v>
      </c>
      <c r="N132" s="158">
        <f t="shared" si="71"/>
        <v>0</v>
      </c>
      <c r="O132" s="158">
        <f t="shared" si="71"/>
        <v>0</v>
      </c>
      <c r="P132" s="160">
        <f t="shared" si="71"/>
        <v>0</v>
      </c>
      <c r="Q132" s="161">
        <f t="shared" si="71"/>
        <v>0</v>
      </c>
      <c r="R132" s="162">
        <f>SUM(R115:R131)</f>
        <v>0</v>
      </c>
      <c r="S132" s="171" t="str">
        <f>IF(Q132=0,"",P132/Q132)</f>
        <v/>
      </c>
      <c r="T132" s="164">
        <f>SUM(T115:T131)</f>
        <v>0</v>
      </c>
      <c r="U132" s="205" t="str">
        <f>IF(G132=0,"",P132/G132)</f>
        <v/>
      </c>
    </row>
    <row r="133" spans="1:21" x14ac:dyDescent="0.2">
      <c r="A133" s="118"/>
      <c r="F133" s="195"/>
      <c r="G133" s="166"/>
      <c r="H133" s="83"/>
      <c r="I133" s="83"/>
      <c r="J133" s="83"/>
      <c r="K133" s="15"/>
      <c r="L133" s="167"/>
      <c r="M133" s="148"/>
      <c r="N133" s="148"/>
      <c r="O133" s="148"/>
      <c r="P133" s="150"/>
      <c r="Q133" s="151"/>
      <c r="R133" s="152"/>
      <c r="S133" s="153"/>
      <c r="T133" s="154"/>
      <c r="U133" s="170"/>
    </row>
    <row r="134" spans="1:21" x14ac:dyDescent="0.2">
      <c r="B134" s="118" t="s">
        <v>364</v>
      </c>
      <c r="F134" s="195"/>
      <c r="G134" s="166"/>
      <c r="H134" s="83"/>
      <c r="I134" s="83"/>
      <c r="J134" s="83"/>
      <c r="K134" s="15"/>
      <c r="L134" s="167"/>
      <c r="M134" s="148"/>
      <c r="N134" s="148"/>
      <c r="O134" s="148"/>
      <c r="P134" s="150"/>
      <c r="Q134" s="151"/>
      <c r="R134" s="152">
        <f>P134-Q134</f>
        <v>0</v>
      </c>
      <c r="S134" s="173" t="str">
        <f>IF(Q134=0,"",P134/Q134)</f>
        <v/>
      </c>
      <c r="T134" s="154">
        <f>P134-G134</f>
        <v>0</v>
      </c>
      <c r="U134" s="170" t="str">
        <f>IF(G134=0,"",P134/G134)</f>
        <v/>
      </c>
    </row>
    <row r="135" spans="1:21" x14ac:dyDescent="0.2">
      <c r="C135" s="116" t="s">
        <v>218</v>
      </c>
      <c r="F135" s="195"/>
      <c r="G135" s="166">
        <v>0</v>
      </c>
      <c r="H135" s="85">
        <v>13401</v>
      </c>
      <c r="I135" s="83">
        <v>1E-13</v>
      </c>
      <c r="J135" s="83"/>
      <c r="K135" s="15"/>
      <c r="L135" s="167">
        <f>+H135</f>
        <v>13401</v>
      </c>
      <c r="M135" s="148">
        <f t="shared" ref="M135:O138" si="72">IF(I135=0,0,I135-H135)</f>
        <v>-13401</v>
      </c>
      <c r="N135" s="148">
        <f t="shared" si="72"/>
        <v>0</v>
      </c>
      <c r="O135" s="148">
        <f t="shared" si="72"/>
        <v>0</v>
      </c>
      <c r="P135" s="150">
        <f>SUM(L135:O135)</f>
        <v>0</v>
      </c>
      <c r="Q135" s="151">
        <v>0</v>
      </c>
      <c r="R135" s="152">
        <f>P135-Q135</f>
        <v>0</v>
      </c>
      <c r="S135" s="173" t="str">
        <f>IF(Q135=0,"",P135/Q135)</f>
        <v/>
      </c>
      <c r="T135" s="154">
        <f>P135-G135</f>
        <v>0</v>
      </c>
      <c r="U135" s="170" t="str">
        <f>IF(G135=0,"",P135/G135)</f>
        <v/>
      </c>
    </row>
    <row r="136" spans="1:21" x14ac:dyDescent="0.2">
      <c r="C136" s="116" t="s">
        <v>219</v>
      </c>
      <c r="F136" s="195"/>
      <c r="G136" s="166">
        <v>1100</v>
      </c>
      <c r="H136" s="85">
        <v>1100</v>
      </c>
      <c r="I136" s="85">
        <v>1100</v>
      </c>
      <c r="J136" s="276">
        <v>1100</v>
      </c>
      <c r="K136" s="276">
        <v>1100</v>
      </c>
      <c r="L136" s="167">
        <f>+H136</f>
        <v>1100</v>
      </c>
      <c r="M136" s="148">
        <f t="shared" si="72"/>
        <v>0</v>
      </c>
      <c r="N136" s="148">
        <f t="shared" si="72"/>
        <v>0</v>
      </c>
      <c r="O136" s="148">
        <f t="shared" si="72"/>
        <v>0</v>
      </c>
      <c r="P136" s="150">
        <f>SUM(L136:O136)</f>
        <v>1100</v>
      </c>
      <c r="Q136" s="151">
        <v>1100</v>
      </c>
      <c r="R136" s="152">
        <f>P136-Q136</f>
        <v>0</v>
      </c>
      <c r="S136" s="173">
        <f>IF(Q136=0,"",P136/Q136)</f>
        <v>1</v>
      </c>
      <c r="T136" s="154">
        <f>P136-G136</f>
        <v>0</v>
      </c>
      <c r="U136" s="170">
        <f>IF(G136=0,"",P136/G136)</f>
        <v>1</v>
      </c>
    </row>
    <row r="137" spans="1:21" x14ac:dyDescent="0.2">
      <c r="C137" s="116" t="s">
        <v>362</v>
      </c>
      <c r="F137" s="195"/>
      <c r="G137" s="166">
        <v>987.2</v>
      </c>
      <c r="H137" s="85">
        <v>987.2</v>
      </c>
      <c r="I137" s="85">
        <v>987.2</v>
      </c>
      <c r="J137" s="276">
        <v>987.2</v>
      </c>
      <c r="K137" s="276">
        <v>987.2</v>
      </c>
      <c r="L137" s="167">
        <f>+H137</f>
        <v>987.2</v>
      </c>
      <c r="M137" s="148">
        <f t="shared" si="72"/>
        <v>0</v>
      </c>
      <c r="N137" s="148">
        <f t="shared" si="72"/>
        <v>0</v>
      </c>
      <c r="O137" s="148">
        <f t="shared" si="72"/>
        <v>0</v>
      </c>
      <c r="P137" s="150">
        <f>SUM(L137:O137)</f>
        <v>987.2</v>
      </c>
      <c r="Q137" s="151">
        <v>987</v>
      </c>
      <c r="R137" s="152">
        <f>P137-Q137</f>
        <v>0.20000000000004547</v>
      </c>
      <c r="S137" s="173">
        <f>IF(Q137=0,"",P137/Q137)</f>
        <v>1.0002026342451875</v>
      </c>
      <c r="T137" s="154">
        <f>P137-G137</f>
        <v>0</v>
      </c>
      <c r="U137" s="170">
        <f>IF(G137=0,"",P137/G137)</f>
        <v>1</v>
      </c>
    </row>
    <row r="138" spans="1:21" x14ac:dyDescent="0.2">
      <c r="C138" s="116" t="s">
        <v>363</v>
      </c>
      <c r="F138" s="195"/>
      <c r="G138" s="166">
        <v>1646</v>
      </c>
      <c r="H138" s="85">
        <v>2641</v>
      </c>
      <c r="I138" s="85">
        <v>2641</v>
      </c>
      <c r="J138" s="276">
        <v>2641</v>
      </c>
      <c r="K138" s="276">
        <v>2641</v>
      </c>
      <c r="L138" s="167">
        <f>+H138</f>
        <v>2641</v>
      </c>
      <c r="M138" s="148">
        <f t="shared" si="72"/>
        <v>0</v>
      </c>
      <c r="N138" s="148">
        <f t="shared" si="72"/>
        <v>0</v>
      </c>
      <c r="O138" s="148">
        <f t="shared" si="72"/>
        <v>0</v>
      </c>
      <c r="P138" s="150">
        <f>SUM(L138:O138)</f>
        <v>2641</v>
      </c>
      <c r="Q138" s="151">
        <v>2641</v>
      </c>
      <c r="R138" s="152">
        <f>P138-Q138</f>
        <v>0</v>
      </c>
      <c r="S138" s="173">
        <f>IF(Q138=0,"",P138/Q138)</f>
        <v>1</v>
      </c>
      <c r="T138" s="154">
        <f>P138-G138</f>
        <v>995</v>
      </c>
      <c r="U138" s="170">
        <f>IF(G138=0,"",P138/G138)</f>
        <v>1.6044957472660997</v>
      </c>
    </row>
    <row r="139" spans="1:21" x14ac:dyDescent="0.2">
      <c r="F139" s="195"/>
      <c r="G139" s="166"/>
      <c r="H139" s="83"/>
      <c r="I139" s="83"/>
      <c r="J139" s="83"/>
      <c r="K139" s="15"/>
      <c r="L139" s="167"/>
      <c r="M139" s="148"/>
      <c r="N139" s="148"/>
      <c r="O139" s="148"/>
      <c r="P139" s="150"/>
      <c r="Q139" s="151"/>
      <c r="R139" s="152"/>
      <c r="S139" s="153"/>
      <c r="T139" s="154"/>
      <c r="U139" s="170"/>
    </row>
    <row r="140" spans="1:21" x14ac:dyDescent="0.2">
      <c r="C140" s="118" t="s">
        <v>182</v>
      </c>
      <c r="F140" s="195">
        <v>8520</v>
      </c>
      <c r="G140" s="157">
        <f>SUM(G135:G139)</f>
        <v>3733.2</v>
      </c>
      <c r="H140" s="84">
        <f>SUM(H135:H139)</f>
        <v>18129.2</v>
      </c>
      <c r="I140" s="84">
        <f>SUM(I135:I139)</f>
        <v>4728.2</v>
      </c>
      <c r="J140" s="84">
        <f>SUM(J135:J139)</f>
        <v>4728.2</v>
      </c>
      <c r="K140" s="241">
        <f>SUM(K135:K139)</f>
        <v>4728.2</v>
      </c>
      <c r="L140" s="159">
        <f t="shared" ref="L140:Q140" si="73">SUM(L135:L139)</f>
        <v>18129.2</v>
      </c>
      <c r="M140" s="158">
        <f t="shared" si="73"/>
        <v>-13401</v>
      </c>
      <c r="N140" s="158">
        <f t="shared" si="73"/>
        <v>0</v>
      </c>
      <c r="O140" s="158">
        <f t="shared" si="73"/>
        <v>0</v>
      </c>
      <c r="P140" s="160">
        <f t="shared" si="73"/>
        <v>4728.2</v>
      </c>
      <c r="Q140" s="161">
        <f t="shared" si="73"/>
        <v>4728</v>
      </c>
      <c r="R140" s="162">
        <f>SUM(R134:R139)</f>
        <v>0.20000000000004547</v>
      </c>
      <c r="S140" s="171">
        <f>IF(Q140=0,"",P140/Q140)</f>
        <v>1.000042301184433</v>
      </c>
      <c r="T140" s="164">
        <f>SUM(T134:T139)</f>
        <v>995</v>
      </c>
      <c r="U140" s="205">
        <f>IF(G140=0,"",P140/G140)</f>
        <v>1.2665273759777136</v>
      </c>
    </row>
    <row r="141" spans="1:21" x14ac:dyDescent="0.2">
      <c r="F141" s="195"/>
      <c r="G141" s="166"/>
      <c r="H141" s="83"/>
      <c r="I141" s="83"/>
      <c r="J141" s="83"/>
      <c r="K141" s="15"/>
      <c r="L141" s="167"/>
      <c r="M141" s="148"/>
      <c r="N141" s="148"/>
      <c r="O141" s="148"/>
      <c r="P141" s="150"/>
      <c r="Q141" s="151"/>
      <c r="R141" s="152"/>
      <c r="S141" s="153"/>
      <c r="T141" s="154"/>
      <c r="U141" s="170"/>
    </row>
    <row r="142" spans="1:21" x14ac:dyDescent="0.2">
      <c r="B142" s="118" t="s">
        <v>196</v>
      </c>
      <c r="F142" s="195"/>
      <c r="G142" s="166"/>
      <c r="H142" s="83"/>
      <c r="I142" s="83"/>
      <c r="J142" s="83"/>
      <c r="K142" s="15"/>
      <c r="L142" s="167"/>
      <c r="M142" s="148"/>
      <c r="N142" s="148"/>
      <c r="O142" s="148"/>
      <c r="P142" s="150"/>
      <c r="Q142" s="151"/>
      <c r="R142" s="152"/>
      <c r="S142" s="153"/>
      <c r="T142" s="154"/>
      <c r="U142" s="170"/>
    </row>
    <row r="143" spans="1:21" x14ac:dyDescent="0.2">
      <c r="C143" s="116" t="s">
        <v>2</v>
      </c>
      <c r="F143" s="195">
        <v>8130</v>
      </c>
      <c r="G143" s="166">
        <f>180+336.04+7654.9</f>
        <v>8170.94</v>
      </c>
      <c r="H143" s="85">
        <f>105+80.9+24</f>
        <v>209.9</v>
      </c>
      <c r="I143" s="85">
        <f>225+112.05+48</f>
        <v>385.05</v>
      </c>
      <c r="J143" s="83">
        <f>345+182.87+814.5</f>
        <v>1342.37</v>
      </c>
      <c r="K143" s="229">
        <f>505+216.66+838.5</f>
        <v>1560.1599999999999</v>
      </c>
      <c r="L143" s="167">
        <f>+H143</f>
        <v>209.9</v>
      </c>
      <c r="M143" s="148">
        <f t="shared" ref="M143:O147" si="74">IF(I143=0,0,I143-H143)</f>
        <v>175.15</v>
      </c>
      <c r="N143" s="148">
        <f t="shared" si="74"/>
        <v>957.31999999999994</v>
      </c>
      <c r="O143" s="148">
        <f t="shared" si="74"/>
        <v>217.78999999999996</v>
      </c>
      <c r="P143" s="150">
        <f>SUM(L143:O143)</f>
        <v>1560.1599999999999</v>
      </c>
      <c r="Q143" s="151">
        <v>5000</v>
      </c>
      <c r="R143" s="152">
        <f>P143-Q143</f>
        <v>-3439.84</v>
      </c>
      <c r="S143" s="173">
        <f>IF(Q143=0,"",P143/Q143)</f>
        <v>0.31203199999999998</v>
      </c>
      <c r="T143" s="154">
        <f>P143-G143</f>
        <v>-6610.78</v>
      </c>
      <c r="U143" s="170">
        <f>IF(G143=0,"",P143/G143)</f>
        <v>0.19094008767657086</v>
      </c>
    </row>
    <row r="144" spans="1:21" x14ac:dyDescent="0.2">
      <c r="C144" s="116" t="s">
        <v>46</v>
      </c>
      <c r="F144" s="195">
        <v>8221</v>
      </c>
      <c r="G144" s="166"/>
      <c r="H144" s="83"/>
      <c r="I144" s="83"/>
      <c r="J144" s="83"/>
      <c r="K144" s="15"/>
      <c r="L144" s="167">
        <f>+H144</f>
        <v>0</v>
      </c>
      <c r="M144" s="148">
        <f t="shared" si="74"/>
        <v>0</v>
      </c>
      <c r="N144" s="148">
        <f t="shared" si="74"/>
        <v>0</v>
      </c>
      <c r="O144" s="148">
        <f t="shared" si="74"/>
        <v>0</v>
      </c>
      <c r="P144" s="150">
        <f>SUM(L144:O144)</f>
        <v>0</v>
      </c>
      <c r="Q144" s="151"/>
      <c r="R144" s="152">
        <f>P144-Q144</f>
        <v>0</v>
      </c>
      <c r="S144" s="173" t="str">
        <f>IF(Q144=0,"",P144/Q144)</f>
        <v/>
      </c>
      <c r="T144" s="154">
        <f>P144-G144</f>
        <v>0</v>
      </c>
      <c r="U144" s="170" t="str">
        <f>IF(G144=0,"",P144/G144)</f>
        <v/>
      </c>
    </row>
    <row r="145" spans="2:21" x14ac:dyDescent="0.2">
      <c r="C145" s="116" t="s">
        <v>47</v>
      </c>
      <c r="F145" s="195">
        <v>8223</v>
      </c>
      <c r="G145" s="166"/>
      <c r="H145" s="83"/>
      <c r="I145" s="83"/>
      <c r="J145" s="83"/>
      <c r="K145" s="15"/>
      <c r="L145" s="167">
        <f>+H145</f>
        <v>0</v>
      </c>
      <c r="M145" s="148">
        <f t="shared" si="74"/>
        <v>0</v>
      </c>
      <c r="N145" s="148">
        <f t="shared" si="74"/>
        <v>0</v>
      </c>
      <c r="O145" s="148">
        <f t="shared" si="74"/>
        <v>0</v>
      </c>
      <c r="P145" s="150">
        <f>SUM(L145:O145)</f>
        <v>0</v>
      </c>
      <c r="Q145" s="151"/>
      <c r="R145" s="152">
        <f>P145-Q145</f>
        <v>0</v>
      </c>
      <c r="S145" s="173" t="str">
        <f>IF(Q145=0,"",P145/Q145)</f>
        <v/>
      </c>
      <c r="T145" s="154">
        <f>P145-G145</f>
        <v>0</v>
      </c>
      <c r="U145" s="170" t="str">
        <f>IF(G145=0,"",P145/G145)</f>
        <v/>
      </c>
    </row>
    <row r="146" spans="2:21" x14ac:dyDescent="0.2">
      <c r="C146" s="116" t="s">
        <v>48</v>
      </c>
      <c r="F146" s="195"/>
      <c r="G146" s="166"/>
      <c r="H146" s="83"/>
      <c r="I146" s="83"/>
      <c r="J146" s="83"/>
      <c r="K146" s="15"/>
      <c r="L146" s="167">
        <f>+H146</f>
        <v>0</v>
      </c>
      <c r="M146" s="148">
        <f t="shared" si="74"/>
        <v>0</v>
      </c>
      <c r="N146" s="148">
        <f t="shared" si="74"/>
        <v>0</v>
      </c>
      <c r="O146" s="148">
        <f t="shared" si="74"/>
        <v>0</v>
      </c>
      <c r="P146" s="150">
        <f>SUM(L146:O146)</f>
        <v>0</v>
      </c>
      <c r="Q146" s="151"/>
      <c r="R146" s="152">
        <f>P146-Q146</f>
        <v>0</v>
      </c>
      <c r="S146" s="173" t="str">
        <f>IF(Q146=0,"",P146/Q146)</f>
        <v/>
      </c>
      <c r="T146" s="154">
        <f>P146-G146</f>
        <v>0</v>
      </c>
      <c r="U146" s="170" t="str">
        <f>IF(G146=0,"",P146/G146)</f>
        <v/>
      </c>
    </row>
    <row r="147" spans="2:21" x14ac:dyDescent="0.2">
      <c r="C147" s="116" t="s">
        <v>193</v>
      </c>
      <c r="F147" s="195"/>
      <c r="G147" s="166"/>
      <c r="H147" s="83"/>
      <c r="I147" s="83"/>
      <c r="J147" s="83"/>
      <c r="K147" s="15"/>
      <c r="L147" s="167">
        <f>+H147</f>
        <v>0</v>
      </c>
      <c r="M147" s="148">
        <f t="shared" si="74"/>
        <v>0</v>
      </c>
      <c r="N147" s="148">
        <f t="shared" si="74"/>
        <v>0</v>
      </c>
      <c r="O147" s="148">
        <f t="shared" si="74"/>
        <v>0</v>
      </c>
      <c r="P147" s="150">
        <f>SUM(L147:O147)</f>
        <v>0</v>
      </c>
      <c r="Q147" s="151"/>
      <c r="R147" s="152">
        <f>P147-Q147</f>
        <v>0</v>
      </c>
      <c r="S147" s="173" t="str">
        <f>IF(Q147=0,"",P147/Q147)</f>
        <v/>
      </c>
      <c r="T147" s="154">
        <f>P147-G147</f>
        <v>0</v>
      </c>
      <c r="U147" s="170" t="str">
        <f>IF(G147=0,"",P147/G147)</f>
        <v/>
      </c>
    </row>
    <row r="148" spans="2:21" x14ac:dyDescent="0.2">
      <c r="F148" s="195"/>
      <c r="G148" s="166"/>
      <c r="H148" s="83"/>
      <c r="I148" s="83"/>
      <c r="J148" s="83"/>
      <c r="K148" s="15"/>
      <c r="L148" s="167"/>
      <c r="M148" s="148"/>
      <c r="N148" s="148"/>
      <c r="O148" s="148"/>
      <c r="P148" s="150"/>
      <c r="Q148" s="151"/>
      <c r="R148" s="152"/>
      <c r="S148" s="153"/>
      <c r="T148" s="154"/>
      <c r="U148" s="170"/>
    </row>
    <row r="149" spans="2:21" x14ac:dyDescent="0.2">
      <c r="C149" s="118" t="s">
        <v>55</v>
      </c>
      <c r="F149" s="195"/>
      <c r="G149" s="157">
        <f>SUM(G143:G148)</f>
        <v>8170.94</v>
      </c>
      <c r="H149" s="84">
        <f>SUM(H143:H148)</f>
        <v>209.9</v>
      </c>
      <c r="I149" s="84">
        <f>SUM(I143:I148)</f>
        <v>385.05</v>
      </c>
      <c r="J149" s="84">
        <f>SUM(J143:J148)</f>
        <v>1342.37</v>
      </c>
      <c r="K149" s="241">
        <f>SUM(K143:K148)</f>
        <v>1560.1599999999999</v>
      </c>
      <c r="L149" s="159">
        <f t="shared" ref="L149:Q149" si="75">SUM(L143:L148)</f>
        <v>209.9</v>
      </c>
      <c r="M149" s="158">
        <f t="shared" si="75"/>
        <v>175.15</v>
      </c>
      <c r="N149" s="158">
        <f t="shared" si="75"/>
        <v>957.31999999999994</v>
      </c>
      <c r="O149" s="158">
        <f t="shared" si="75"/>
        <v>217.78999999999996</v>
      </c>
      <c r="P149" s="160">
        <f t="shared" si="75"/>
        <v>1560.1599999999999</v>
      </c>
      <c r="Q149" s="161">
        <f t="shared" si="75"/>
        <v>5000</v>
      </c>
      <c r="R149" s="162">
        <f>SUM(R143:R148)</f>
        <v>-3439.84</v>
      </c>
      <c r="S149" s="171">
        <f>IF(Q149=0,"",P149/Q149)</f>
        <v>0.31203199999999998</v>
      </c>
      <c r="T149" s="164">
        <f>SUM(T143:T148)</f>
        <v>-6610.78</v>
      </c>
      <c r="U149" s="205">
        <f>IF(G149=0,"",P149/G149)</f>
        <v>0.19094008767657086</v>
      </c>
    </row>
    <row r="150" spans="2:21" x14ac:dyDescent="0.2">
      <c r="F150" s="195"/>
      <c r="G150" s="166"/>
      <c r="H150" s="83"/>
      <c r="I150" s="83"/>
      <c r="J150" s="83"/>
      <c r="K150" s="15"/>
      <c r="L150" s="167"/>
      <c r="M150" s="148"/>
      <c r="N150" s="148"/>
      <c r="O150" s="148"/>
      <c r="P150" s="150"/>
      <c r="Q150" s="151"/>
      <c r="R150" s="152"/>
      <c r="S150" s="153"/>
      <c r="T150" s="154"/>
      <c r="U150" s="170"/>
    </row>
    <row r="151" spans="2:21" x14ac:dyDescent="0.2">
      <c r="B151" s="118" t="s">
        <v>49</v>
      </c>
      <c r="F151" s="195"/>
      <c r="G151" s="166"/>
      <c r="H151" s="83"/>
      <c r="I151" s="83"/>
      <c r="J151" s="83"/>
      <c r="K151" s="15"/>
      <c r="L151" s="167"/>
      <c r="M151" s="148"/>
      <c r="N151" s="148"/>
      <c r="O151" s="148"/>
      <c r="P151" s="150"/>
      <c r="Q151" s="151"/>
      <c r="R151" s="152"/>
      <c r="S151" s="153"/>
      <c r="T151" s="154"/>
      <c r="U151" s="170"/>
    </row>
    <row r="152" spans="2:21" x14ac:dyDescent="0.2">
      <c r="C152" s="116" t="s">
        <v>50</v>
      </c>
      <c r="F152" s="195" t="s">
        <v>203</v>
      </c>
      <c r="G152" s="166"/>
      <c r="H152" s="83"/>
      <c r="I152" s="83"/>
      <c r="J152" s="83"/>
      <c r="K152" s="15"/>
      <c r="L152" s="167">
        <f>+H152</f>
        <v>0</v>
      </c>
      <c r="M152" s="148">
        <f t="shared" ref="M152:O156" si="76">IF(I152=0,0,I152-H152)</f>
        <v>0</v>
      </c>
      <c r="N152" s="148">
        <f t="shared" si="76"/>
        <v>0</v>
      </c>
      <c r="O152" s="148">
        <f t="shared" si="76"/>
        <v>0</v>
      </c>
      <c r="P152" s="150">
        <f t="shared" ref="P152:P157" si="77">SUM(L152:O152)</f>
        <v>0</v>
      </c>
      <c r="Q152" s="151"/>
      <c r="R152" s="152">
        <f>P152-Q152</f>
        <v>0</v>
      </c>
      <c r="S152" s="173" t="str">
        <f>IF(Q152=0,"",P152/Q152)</f>
        <v/>
      </c>
      <c r="T152" s="154">
        <f>P152-G152</f>
        <v>0</v>
      </c>
      <c r="U152" s="170" t="str">
        <f>IF(G152=0,"",P152/G152)</f>
        <v/>
      </c>
    </row>
    <row r="153" spans="2:21" x14ac:dyDescent="0.2">
      <c r="C153" s="116" t="s">
        <v>51</v>
      </c>
      <c r="F153" s="195" t="s">
        <v>204</v>
      </c>
      <c r="G153" s="166"/>
      <c r="H153" s="83"/>
      <c r="I153" s="83"/>
      <c r="J153" s="83"/>
      <c r="K153" s="15"/>
      <c r="L153" s="167">
        <f>+H153</f>
        <v>0</v>
      </c>
      <c r="M153" s="148">
        <f t="shared" si="76"/>
        <v>0</v>
      </c>
      <c r="N153" s="148">
        <f t="shared" si="76"/>
        <v>0</v>
      </c>
      <c r="O153" s="148">
        <f t="shared" si="76"/>
        <v>0</v>
      </c>
      <c r="P153" s="150">
        <f t="shared" si="77"/>
        <v>0</v>
      </c>
      <c r="Q153" s="151"/>
      <c r="R153" s="152">
        <f>P153-Q153</f>
        <v>0</v>
      </c>
      <c r="S153" s="173" t="str">
        <f>IF(Q153=0,"",P153/Q153)</f>
        <v/>
      </c>
      <c r="T153" s="154">
        <f>P153-G153</f>
        <v>0</v>
      </c>
      <c r="U153" s="170" t="str">
        <f>IF(G153=0,"",P153/G153)</f>
        <v/>
      </c>
    </row>
    <row r="154" spans="2:21" x14ac:dyDescent="0.2">
      <c r="C154" s="116" t="s">
        <v>52</v>
      </c>
      <c r="F154" s="195" t="s">
        <v>205</v>
      </c>
      <c r="G154" s="166"/>
      <c r="H154" s="83"/>
      <c r="I154" s="83"/>
      <c r="J154" s="83"/>
      <c r="K154" s="15"/>
      <c r="L154" s="167">
        <f>+H154</f>
        <v>0</v>
      </c>
      <c r="M154" s="148">
        <f t="shared" si="76"/>
        <v>0</v>
      </c>
      <c r="N154" s="148">
        <f t="shared" si="76"/>
        <v>0</v>
      </c>
      <c r="O154" s="148">
        <f t="shared" si="76"/>
        <v>0</v>
      </c>
      <c r="P154" s="150">
        <f t="shared" si="77"/>
        <v>0</v>
      </c>
      <c r="Q154" s="151"/>
      <c r="R154" s="152">
        <f>P154-Q154</f>
        <v>0</v>
      </c>
      <c r="S154" s="173" t="str">
        <f>IF(Q154=0,"",P154/Q154)</f>
        <v/>
      </c>
      <c r="T154" s="154">
        <f>P154-G154</f>
        <v>0</v>
      </c>
      <c r="U154" s="170" t="str">
        <f>IF(G154=0,"",P154/G154)</f>
        <v/>
      </c>
    </row>
    <row r="155" spans="2:21" x14ac:dyDescent="0.2">
      <c r="C155" s="116" t="s">
        <v>53</v>
      </c>
      <c r="F155" s="195" t="s">
        <v>206</v>
      </c>
      <c r="G155" s="166"/>
      <c r="H155" s="83"/>
      <c r="I155" s="83"/>
      <c r="J155" s="83"/>
      <c r="K155" s="15"/>
      <c r="L155" s="167">
        <f>+H155</f>
        <v>0</v>
      </c>
      <c r="M155" s="148">
        <f t="shared" si="76"/>
        <v>0</v>
      </c>
      <c r="N155" s="148">
        <f t="shared" si="76"/>
        <v>0</v>
      </c>
      <c r="O155" s="148">
        <f t="shared" si="76"/>
        <v>0</v>
      </c>
      <c r="P155" s="150">
        <f t="shared" si="77"/>
        <v>0</v>
      </c>
      <c r="Q155" s="151"/>
      <c r="R155" s="152">
        <f>P155-Q155</f>
        <v>0</v>
      </c>
      <c r="S155" s="173" t="str">
        <f>IF(Q155=0,"",P155/Q155)</f>
        <v/>
      </c>
      <c r="T155" s="154">
        <f>P155-G155</f>
        <v>0</v>
      </c>
      <c r="U155" s="170" t="str">
        <f>IF(G155=0,"",P155/G155)</f>
        <v/>
      </c>
    </row>
    <row r="156" spans="2:21" x14ac:dyDescent="0.2">
      <c r="C156" s="116" t="s">
        <v>211</v>
      </c>
      <c r="F156" s="195"/>
      <c r="G156" s="166"/>
      <c r="H156" s="83"/>
      <c r="I156" s="83"/>
      <c r="J156" s="83"/>
      <c r="K156" s="15"/>
      <c r="L156" s="167">
        <f>+H156</f>
        <v>0</v>
      </c>
      <c r="M156" s="148">
        <f t="shared" si="76"/>
        <v>0</v>
      </c>
      <c r="N156" s="148">
        <f t="shared" si="76"/>
        <v>0</v>
      </c>
      <c r="O156" s="148">
        <f t="shared" si="76"/>
        <v>0</v>
      </c>
      <c r="P156" s="150">
        <f t="shared" si="77"/>
        <v>0</v>
      </c>
      <c r="Q156" s="151"/>
      <c r="R156" s="152">
        <f>P156-Q156</f>
        <v>0</v>
      </c>
      <c r="S156" s="173" t="str">
        <f>IF(Q156=0,"",P156/Q156)</f>
        <v/>
      </c>
      <c r="T156" s="154">
        <f>P156-G156</f>
        <v>0</v>
      </c>
      <c r="U156" s="170" t="str">
        <f>IF(G156=0,"",P156/G156)</f>
        <v/>
      </c>
    </row>
    <row r="157" spans="2:21" x14ac:dyDescent="0.2">
      <c r="F157" s="195"/>
      <c r="G157" s="166"/>
      <c r="H157" s="83"/>
      <c r="I157" s="83"/>
      <c r="J157" s="83"/>
      <c r="K157" s="15"/>
      <c r="L157" s="167"/>
      <c r="M157" s="148"/>
      <c r="N157" s="148"/>
      <c r="O157" s="148"/>
      <c r="P157" s="150">
        <f t="shared" si="77"/>
        <v>0</v>
      </c>
      <c r="Q157" s="151"/>
      <c r="R157" s="152"/>
      <c r="S157" s="153"/>
      <c r="T157" s="154"/>
      <c r="U157" s="170"/>
    </row>
    <row r="158" spans="2:21" x14ac:dyDescent="0.2">
      <c r="C158" s="118" t="s">
        <v>54</v>
      </c>
      <c r="F158" s="195"/>
      <c r="G158" s="157">
        <f>SUM(G152:G157)</f>
        <v>0</v>
      </c>
      <c r="H158" s="84">
        <f>SUM(H152:H157)</f>
        <v>0</v>
      </c>
      <c r="I158" s="84">
        <f>SUM(I152:I157)</f>
        <v>0</v>
      </c>
      <c r="J158" s="84">
        <f>SUM(J152:J157)</f>
        <v>0</v>
      </c>
      <c r="K158" s="241">
        <f>SUM(K152:K157)</f>
        <v>0</v>
      </c>
      <c r="L158" s="159">
        <f t="shared" ref="L158:Q158" si="78">SUM(L152:L157)</f>
        <v>0</v>
      </c>
      <c r="M158" s="158">
        <f t="shared" si="78"/>
        <v>0</v>
      </c>
      <c r="N158" s="158">
        <f t="shared" si="78"/>
        <v>0</v>
      </c>
      <c r="O158" s="158">
        <f t="shared" si="78"/>
        <v>0</v>
      </c>
      <c r="P158" s="160">
        <f t="shared" si="78"/>
        <v>0</v>
      </c>
      <c r="Q158" s="161">
        <f t="shared" si="78"/>
        <v>0</v>
      </c>
      <c r="R158" s="162">
        <f>SUM(R152:R157)</f>
        <v>0</v>
      </c>
      <c r="S158" s="171" t="str">
        <f>IF(Q158=0,"",P158/Q158)</f>
        <v/>
      </c>
      <c r="T158" s="164">
        <f>SUM(T152:T157)</f>
        <v>0</v>
      </c>
      <c r="U158" s="205" t="str">
        <f>IF(G158=0,"",P158/G158)</f>
        <v/>
      </c>
    </row>
    <row r="159" spans="2:21" x14ac:dyDescent="0.2">
      <c r="F159" s="195"/>
      <c r="G159" s="166"/>
      <c r="H159" s="83"/>
      <c r="I159" s="83"/>
      <c r="J159" s="83"/>
      <c r="K159" s="15"/>
      <c r="L159" s="167"/>
      <c r="M159" s="148"/>
      <c r="N159" s="148"/>
      <c r="O159" s="148"/>
      <c r="P159" s="150"/>
      <c r="Q159" s="151"/>
      <c r="R159" s="152"/>
      <c r="S159" s="153"/>
      <c r="T159" s="154"/>
      <c r="U159" s="170"/>
    </row>
    <row r="160" spans="2:21" x14ac:dyDescent="0.2">
      <c r="B160" s="118" t="s">
        <v>183</v>
      </c>
      <c r="F160" s="195"/>
      <c r="G160" s="166"/>
      <c r="H160" s="83"/>
      <c r="I160" s="83"/>
      <c r="J160" s="83"/>
      <c r="K160" s="15"/>
      <c r="L160" s="167"/>
      <c r="M160" s="148"/>
      <c r="N160" s="148"/>
      <c r="O160" s="148"/>
      <c r="P160" s="150"/>
      <c r="Q160" s="151"/>
      <c r="R160" s="152"/>
      <c r="S160" s="153"/>
      <c r="T160" s="154"/>
      <c r="U160" s="170"/>
    </row>
    <row r="161" spans="1:21" x14ac:dyDescent="0.2">
      <c r="C161" s="116" t="s">
        <v>95</v>
      </c>
      <c r="F161" s="195" t="s">
        <v>200</v>
      </c>
      <c r="G161" s="166"/>
      <c r="H161" s="83">
        <v>24</v>
      </c>
      <c r="I161" s="83">
        <v>27</v>
      </c>
      <c r="J161" s="83">
        <v>30</v>
      </c>
      <c r="K161" s="229">
        <v>36</v>
      </c>
      <c r="L161" s="167">
        <f>+H161</f>
        <v>24</v>
      </c>
      <c r="M161" s="148">
        <f t="shared" ref="M161:O165" si="79">IF(I161=0,0,I161-H161)</f>
        <v>3</v>
      </c>
      <c r="N161" s="148">
        <f t="shared" si="79"/>
        <v>3</v>
      </c>
      <c r="O161" s="148">
        <f t="shared" si="79"/>
        <v>6</v>
      </c>
      <c r="P161" s="150">
        <f>SUM(L161:O161)</f>
        <v>36</v>
      </c>
      <c r="Q161" s="151">
        <v>50</v>
      </c>
      <c r="R161" s="152">
        <f>P161-Q161</f>
        <v>-14</v>
      </c>
      <c r="S161" s="173">
        <f>IF(Q161=0,"",P161/Q161)</f>
        <v>0.72</v>
      </c>
      <c r="T161" s="154">
        <f>P161-G161</f>
        <v>36</v>
      </c>
      <c r="U161" s="170" t="str">
        <f>IF(G161=0,"",P161/G161)</f>
        <v/>
      </c>
    </row>
    <row r="162" spans="1:21" x14ac:dyDescent="0.2">
      <c r="C162" s="116" t="s">
        <v>185</v>
      </c>
      <c r="F162" s="195" t="s">
        <v>201</v>
      </c>
      <c r="G162" s="166">
        <v>200.39</v>
      </c>
      <c r="H162" s="83"/>
      <c r="I162" s="83"/>
      <c r="J162" s="83"/>
      <c r="K162" s="229">
        <v>12.25</v>
      </c>
      <c r="L162" s="167">
        <f>+H162</f>
        <v>0</v>
      </c>
      <c r="M162" s="148">
        <f t="shared" si="79"/>
        <v>0</v>
      </c>
      <c r="N162" s="148">
        <f>IF(J162=0,0,J162-I162)</f>
        <v>0</v>
      </c>
      <c r="O162" s="148">
        <f>IF(K162=0,0,K162-J162)</f>
        <v>12.25</v>
      </c>
      <c r="P162" s="150">
        <f>SUM(L162:O162)</f>
        <v>12.25</v>
      </c>
      <c r="Q162" s="151">
        <v>100</v>
      </c>
      <c r="R162" s="152">
        <f>P162-Q162</f>
        <v>-87.75</v>
      </c>
      <c r="S162" s="173">
        <f>IF(Q162=0,"",P162/Q162)</f>
        <v>0.1225</v>
      </c>
      <c r="T162" s="154">
        <f>P162-G162</f>
        <v>-188.14</v>
      </c>
      <c r="U162" s="170">
        <f>IF(G162=0,"",P162/G162)</f>
        <v>6.11307949498478E-2</v>
      </c>
    </row>
    <row r="163" spans="1:21" x14ac:dyDescent="0.2">
      <c r="C163" s="116" t="s">
        <v>184</v>
      </c>
      <c r="F163" s="195" t="s">
        <v>202</v>
      </c>
      <c r="G163" s="166"/>
      <c r="H163" s="83"/>
      <c r="I163" s="83"/>
      <c r="J163" s="83"/>
      <c r="K163" s="229"/>
      <c r="L163" s="167">
        <f>+H163</f>
        <v>0</v>
      </c>
      <c r="M163" s="148">
        <f t="shared" si="79"/>
        <v>0</v>
      </c>
      <c r="N163" s="148">
        <f t="shared" si="79"/>
        <v>0</v>
      </c>
      <c r="O163" s="148">
        <f t="shared" si="79"/>
        <v>0</v>
      </c>
      <c r="P163" s="150">
        <f>SUM(L163:O163)</f>
        <v>0</v>
      </c>
      <c r="Q163" s="151">
        <v>50</v>
      </c>
      <c r="R163" s="152">
        <f>P163-Q163</f>
        <v>-50</v>
      </c>
      <c r="S163" s="173">
        <f>IF(Q163=0,"",P163/Q163)</f>
        <v>0</v>
      </c>
      <c r="T163" s="154">
        <f>P163-G163</f>
        <v>0</v>
      </c>
      <c r="U163" s="170" t="str">
        <f>IF(G163=0,"",P163/G163)</f>
        <v/>
      </c>
    </row>
    <row r="164" spans="1:21" x14ac:dyDescent="0.2">
      <c r="C164" s="116" t="s">
        <v>186</v>
      </c>
      <c r="F164" s="195"/>
      <c r="G164" s="166"/>
      <c r="H164" s="83"/>
      <c r="I164" s="83">
        <v>280</v>
      </c>
      <c r="J164" s="83">
        <v>280</v>
      </c>
      <c r="K164" s="226">
        <v>280</v>
      </c>
      <c r="L164" s="167">
        <f>+H164</f>
        <v>0</v>
      </c>
      <c r="M164" s="148">
        <f t="shared" si="79"/>
        <v>280</v>
      </c>
      <c r="N164" s="148">
        <f t="shared" si="79"/>
        <v>0</v>
      </c>
      <c r="O164" s="148">
        <f t="shared" si="79"/>
        <v>0</v>
      </c>
      <c r="P164" s="150">
        <f>SUM(L164:O164)</f>
        <v>280</v>
      </c>
      <c r="Q164" s="151">
        <v>250</v>
      </c>
      <c r="R164" s="152">
        <f>P164-Q164</f>
        <v>30</v>
      </c>
      <c r="S164" s="173">
        <f>IF(Q164=0,"",P164/Q164)</f>
        <v>1.1200000000000001</v>
      </c>
      <c r="T164" s="154">
        <f>P164-G164</f>
        <v>280</v>
      </c>
      <c r="U164" s="170" t="str">
        <f>IF(G164=0,"",P164/G164)</f>
        <v/>
      </c>
    </row>
    <row r="165" spans="1:21" x14ac:dyDescent="0.2">
      <c r="C165" s="116" t="s">
        <v>211</v>
      </c>
      <c r="F165" s="195"/>
      <c r="G165" s="166"/>
      <c r="H165" s="83"/>
      <c r="I165" s="83"/>
      <c r="J165" s="83"/>
      <c r="K165" s="16"/>
      <c r="L165" s="167">
        <f>+H165</f>
        <v>0</v>
      </c>
      <c r="M165" s="148">
        <f t="shared" si="79"/>
        <v>0</v>
      </c>
      <c r="N165" s="148">
        <f t="shared" si="79"/>
        <v>0</v>
      </c>
      <c r="O165" s="148">
        <f t="shared" si="79"/>
        <v>0</v>
      </c>
      <c r="P165" s="150">
        <f>SUM(L165:O165)</f>
        <v>0</v>
      </c>
      <c r="Q165" s="151">
        <v>50</v>
      </c>
      <c r="R165" s="152">
        <f>P165-Q165</f>
        <v>-50</v>
      </c>
      <c r="S165" s="173">
        <f>IF(Q165=0,"",P165/Q165)</f>
        <v>0</v>
      </c>
      <c r="T165" s="154">
        <f>P165-G165</f>
        <v>0</v>
      </c>
      <c r="U165" s="170" t="str">
        <f>IF(G165=0,"",P165/G165)</f>
        <v/>
      </c>
    </row>
    <row r="166" spans="1:21" x14ac:dyDescent="0.2">
      <c r="F166" s="195"/>
      <c r="G166" s="166"/>
      <c r="H166" s="83"/>
      <c r="I166" s="83"/>
      <c r="J166" s="83"/>
      <c r="K166" s="15"/>
      <c r="L166" s="167"/>
      <c r="M166" s="148"/>
      <c r="N166" s="148"/>
      <c r="O166" s="148"/>
      <c r="P166" s="150"/>
      <c r="Q166" s="151"/>
      <c r="R166" s="152"/>
      <c r="S166" s="153"/>
      <c r="T166" s="154"/>
      <c r="U166" s="170"/>
    </row>
    <row r="167" spans="1:21" x14ac:dyDescent="0.2">
      <c r="C167" s="118" t="s">
        <v>187</v>
      </c>
      <c r="F167" s="215"/>
      <c r="G167" s="216">
        <f>SUM(G161:G166)</f>
        <v>200.39</v>
      </c>
      <c r="H167" s="91">
        <f>SUM(H161:H166)</f>
        <v>24</v>
      </c>
      <c r="I167" s="91">
        <f>SUM(I161:I166)</f>
        <v>307</v>
      </c>
      <c r="J167" s="91">
        <f>SUM(J161:J166)</f>
        <v>310</v>
      </c>
      <c r="K167" s="247">
        <f>SUM(K161:K166)</f>
        <v>328.25</v>
      </c>
      <c r="L167" s="218">
        <f t="shared" ref="L167:Q167" si="80">SUM(L161:L166)</f>
        <v>24</v>
      </c>
      <c r="M167" s="217">
        <f t="shared" si="80"/>
        <v>283</v>
      </c>
      <c r="N167" s="217">
        <f t="shared" si="80"/>
        <v>3</v>
      </c>
      <c r="O167" s="217">
        <f t="shared" si="80"/>
        <v>18.25</v>
      </c>
      <c r="P167" s="219">
        <f t="shared" si="80"/>
        <v>328.25</v>
      </c>
      <c r="Q167" s="220">
        <f t="shared" si="80"/>
        <v>500</v>
      </c>
      <c r="R167" s="221">
        <f>SUM(R161:R166)</f>
        <v>-171.75</v>
      </c>
      <c r="S167" s="222">
        <f>IF(Q167=0,"",P167/Q167)</f>
        <v>0.65649999999999997</v>
      </c>
      <c r="T167" s="223">
        <f>SUM(T161:T166)</f>
        <v>127.86000000000001</v>
      </c>
      <c r="U167" s="224">
        <f>IF(G167=0,"",P167/G167)</f>
        <v>1.6380557912071463</v>
      </c>
    </row>
    <row r="171" spans="1:21" x14ac:dyDescent="0.2">
      <c r="A171" s="116" t="s">
        <v>66</v>
      </c>
    </row>
    <row r="172" spans="1:21" x14ac:dyDescent="0.2">
      <c r="A172" s="116">
        <v>1</v>
      </c>
      <c r="B172" s="225" t="s">
        <v>87</v>
      </c>
    </row>
    <row r="173" spans="1:21" x14ac:dyDescent="0.2">
      <c r="A173" s="116">
        <v>2</v>
      </c>
      <c r="B173" s="116" t="s">
        <v>8</v>
      </c>
    </row>
    <row r="174" spans="1:21" x14ac:dyDescent="0.2">
      <c r="A174" s="116">
        <v>3</v>
      </c>
      <c r="B174" s="116" t="s">
        <v>9</v>
      </c>
    </row>
    <row r="175" spans="1:21" x14ac:dyDescent="0.2">
      <c r="A175" s="116">
        <v>4</v>
      </c>
      <c r="B175" s="116" t="s">
        <v>10</v>
      </c>
    </row>
  </sheetData>
  <sheetProtection algorithmName="SHA-512" hashValue="JcQZUmG/WKvpDsAUsMFmuUNPYM20W4cet1R1OTtWwrQ+zXjsTpQWoePD9XOApEyyjg10xK97HXvSvHhr22LybA==" saltValue="Hx+ETrvZfxGKy5+bU6prug==" spinCount="100000" sheet="1" objects="1" scenarios="1"/>
  <phoneticPr fontId="4" type="noConversion"/>
  <pageMargins left="0.75" right="0.75" top="0.5" bottom="1" header="0.5" footer="0.5"/>
  <pageSetup scale="58" fitToHeight="3" orientation="landscape" horizontalDpi="4294967292" verticalDpi="4294967292" r:id="rId1"/>
  <headerFooter alignWithMargins="0">
    <oddFooter>&amp;L&amp;F&amp;C&amp;D&amp;R&amp;A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49"/>
    <pageSetUpPr fitToPage="1"/>
  </sheetPr>
  <dimension ref="A1:P85"/>
  <sheetViews>
    <sheetView zoomScale="96" zoomScaleNormal="96" workbookViewId="0">
      <pane xSplit="5" ySplit="7" topLeftCell="F8" activePane="bottomRight" state="frozen"/>
      <selection activeCell="D4" sqref="D4"/>
      <selection pane="topRight" activeCell="D4" sqref="D4"/>
      <selection pane="bottomLeft" activeCell="D4" sqref="D4"/>
      <selection pane="bottomRight" activeCell="F8" sqref="F8"/>
    </sheetView>
  </sheetViews>
  <sheetFormatPr defaultColWidth="11.08984375" defaultRowHeight="12.6" outlineLevelRow="1" x14ac:dyDescent="0.2"/>
  <cols>
    <col min="1" max="1" width="5.90625" customWidth="1"/>
    <col min="2" max="2" width="6.36328125" customWidth="1"/>
    <col min="3" max="3" width="4.08984375" customWidth="1"/>
    <col min="4" max="4" width="3.90625" customWidth="1"/>
    <col min="5" max="5" width="10.08984375" customWidth="1"/>
    <col min="6" max="6" width="8.90625" customWidth="1"/>
    <col min="7" max="7" width="12.36328125" customWidth="1"/>
    <col min="8" max="8" width="11.36328125" bestFit="1" customWidth="1"/>
    <col min="9" max="9" width="14.08984375" bestFit="1" customWidth="1"/>
    <col min="10" max="10" width="12.6328125" customWidth="1"/>
    <col min="12" max="12" width="12" customWidth="1"/>
    <col min="13" max="14" width="14.7265625" bestFit="1" customWidth="1"/>
  </cols>
  <sheetData>
    <row r="1" spans="1:15" ht="16.2" x14ac:dyDescent="0.3">
      <c r="A1" s="2" t="s">
        <v>188</v>
      </c>
    </row>
    <row r="2" spans="1:15" x14ac:dyDescent="0.2">
      <c r="A2" s="14" t="s">
        <v>79</v>
      </c>
      <c r="I2" s="15"/>
    </row>
    <row r="3" spans="1:15" ht="16.8" thickBot="1" x14ac:dyDescent="0.35">
      <c r="A3" s="2" t="s">
        <v>197</v>
      </c>
    </row>
    <row r="4" spans="1:15" ht="13.2" thickBot="1" x14ac:dyDescent="0.25">
      <c r="A4" s="1" t="s">
        <v>34</v>
      </c>
      <c r="D4" s="18">
        <v>4</v>
      </c>
    </row>
    <row r="5" spans="1:15" x14ac:dyDescent="0.2">
      <c r="E5" s="17"/>
      <c r="G5" s="71" t="s">
        <v>442</v>
      </c>
      <c r="H5">
        <v>1</v>
      </c>
      <c r="I5">
        <v>2</v>
      </c>
      <c r="J5">
        <v>3</v>
      </c>
      <c r="K5">
        <v>4</v>
      </c>
    </row>
    <row r="6" spans="1:15" ht="16.2" x14ac:dyDescent="0.3">
      <c r="A6" s="2"/>
      <c r="F6" s="79" t="s">
        <v>212</v>
      </c>
      <c r="G6" s="61" t="s">
        <v>78</v>
      </c>
      <c r="H6" s="35" t="s">
        <v>134</v>
      </c>
      <c r="I6" s="36" t="s">
        <v>134</v>
      </c>
      <c r="J6" s="36" t="s">
        <v>134</v>
      </c>
      <c r="K6" s="230" t="s">
        <v>78</v>
      </c>
      <c r="L6" s="234" t="s">
        <v>439</v>
      </c>
      <c r="M6" s="67" t="s">
        <v>135</v>
      </c>
      <c r="N6" s="68" t="s">
        <v>136</v>
      </c>
    </row>
    <row r="7" spans="1:15" x14ac:dyDescent="0.2">
      <c r="F7" s="80" t="s">
        <v>213</v>
      </c>
      <c r="G7" s="62">
        <v>40998</v>
      </c>
      <c r="H7" s="69">
        <v>41089</v>
      </c>
      <c r="I7" s="70">
        <v>41181</v>
      </c>
      <c r="J7" s="70">
        <v>41273</v>
      </c>
      <c r="K7" s="231">
        <v>41363</v>
      </c>
      <c r="L7" s="235" t="s">
        <v>438</v>
      </c>
      <c r="M7" s="65" t="s">
        <v>19</v>
      </c>
      <c r="N7" s="66" t="s">
        <v>125</v>
      </c>
    </row>
    <row r="8" spans="1:15" x14ac:dyDescent="0.2">
      <c r="A8" s="1" t="s">
        <v>146</v>
      </c>
      <c r="F8" s="81"/>
      <c r="G8" s="76"/>
      <c r="H8" s="92"/>
      <c r="I8" s="93"/>
      <c r="J8" s="93"/>
      <c r="K8" s="93"/>
      <c r="L8" s="47"/>
      <c r="M8" s="34"/>
      <c r="N8" s="48"/>
    </row>
    <row r="9" spans="1:15" x14ac:dyDescent="0.2">
      <c r="F9" s="78"/>
      <c r="G9" s="49"/>
      <c r="H9" s="94"/>
      <c r="I9" s="95"/>
      <c r="J9" s="95"/>
      <c r="K9" s="95"/>
      <c r="L9" s="49"/>
      <c r="M9" s="46"/>
      <c r="N9" s="50"/>
    </row>
    <row r="10" spans="1:15" x14ac:dyDescent="0.2">
      <c r="B10" t="s">
        <v>350</v>
      </c>
      <c r="F10" s="78"/>
      <c r="G10" s="37">
        <v>44974.37</v>
      </c>
      <c r="H10" s="96">
        <v>41423.589999999997</v>
      </c>
      <c r="I10" s="97">
        <f>53469.39-8102</f>
        <v>45367.39</v>
      </c>
      <c r="J10" s="97">
        <v>44981.24</v>
      </c>
      <c r="K10" s="97">
        <v>54838.02</v>
      </c>
      <c r="L10" s="37">
        <f>41570</f>
        <v>41570</v>
      </c>
      <c r="M10" s="42">
        <f>IF($D$4=$H$5,H10-L10,IF($D$4=$I$5,I10-L10,IF($D$4=$J$5,J10-L10,K10-L10)))</f>
        <v>13268.019999999997</v>
      </c>
      <c r="N10" s="51"/>
      <c r="O10" s="15"/>
    </row>
    <row r="11" spans="1:15" x14ac:dyDescent="0.2">
      <c r="B11" t="s">
        <v>351</v>
      </c>
      <c r="F11" s="78"/>
      <c r="G11" s="37">
        <v>60084.46</v>
      </c>
      <c r="H11" s="96">
        <v>60088.95</v>
      </c>
      <c r="I11" s="97">
        <v>60093.49</v>
      </c>
      <c r="J11" s="97">
        <v>85099.13</v>
      </c>
      <c r="K11" s="97">
        <v>82602.09</v>
      </c>
      <c r="L11" s="37">
        <v>60100</v>
      </c>
      <c r="M11" s="42">
        <f>IF($D$4=$H$5,H11-L11,IF($D$4=$I$5,I11-L11,IF($D$4=$J$5,J11-L11,K11-L11)))</f>
        <v>22502.089999999997</v>
      </c>
      <c r="N11" s="51"/>
    </row>
    <row r="12" spans="1:15" x14ac:dyDescent="0.2">
      <c r="B12" t="s">
        <v>84</v>
      </c>
      <c r="F12" s="78"/>
      <c r="G12" s="37"/>
      <c r="H12" s="96"/>
      <c r="I12" s="236"/>
      <c r="J12" s="97"/>
      <c r="K12" s="97"/>
      <c r="L12" s="37"/>
      <c r="M12" s="38"/>
      <c r="N12" s="51"/>
    </row>
    <row r="13" spans="1:15" x14ac:dyDescent="0.2">
      <c r="F13" s="78"/>
      <c r="G13" s="37"/>
      <c r="H13" s="96"/>
      <c r="I13" s="97"/>
      <c r="J13" s="97"/>
      <c r="K13" s="97"/>
      <c r="L13" s="37"/>
      <c r="M13" s="38"/>
      <c r="N13" s="51"/>
    </row>
    <row r="14" spans="1:15" x14ac:dyDescent="0.2">
      <c r="F14" s="78"/>
      <c r="G14" s="37"/>
      <c r="H14" s="96"/>
      <c r="I14" s="97"/>
      <c r="J14" s="97"/>
      <c r="K14" s="97"/>
      <c r="L14" s="37"/>
      <c r="M14" s="38"/>
      <c r="N14" s="51"/>
    </row>
    <row r="15" spans="1:15" x14ac:dyDescent="0.2">
      <c r="B15" s="1" t="s">
        <v>237</v>
      </c>
      <c r="F15" s="78"/>
      <c r="G15" s="54">
        <f t="shared" ref="G15:L15" si="0">SUM(G10:G14)</f>
        <v>105058.83</v>
      </c>
      <c r="H15" s="98">
        <f t="shared" si="0"/>
        <v>101512.54</v>
      </c>
      <c r="I15" s="99">
        <f t="shared" si="0"/>
        <v>105460.88</v>
      </c>
      <c r="J15" s="99">
        <f t="shared" si="0"/>
        <v>130080.37</v>
      </c>
      <c r="K15" s="99">
        <f t="shared" si="0"/>
        <v>137440.10999999999</v>
      </c>
      <c r="L15" s="54">
        <f t="shared" si="0"/>
        <v>101670</v>
      </c>
      <c r="M15" s="77">
        <f>IF($D$4=$H$5,H15-L15,IF($D$4=$I$5,I15-L15,IF($D$4=$J$5,J15-L15,K15-L15)))</f>
        <v>35770.109999999986</v>
      </c>
      <c r="N15" s="55">
        <f>IF($D$4=$H$5,H15-G15,IF($D$4=$I$5,I15-G15,IF($D$4=$J$5,J15-G15,K15-G15)))</f>
        <v>32381.279999999984</v>
      </c>
    </row>
    <row r="16" spans="1:15" hidden="1" outlineLevel="1" x14ac:dyDescent="0.2">
      <c r="F16" s="78"/>
      <c r="G16" s="37"/>
      <c r="H16" s="96"/>
      <c r="I16" s="97"/>
      <c r="J16" s="97"/>
      <c r="K16" s="97"/>
      <c r="L16" s="37"/>
      <c r="M16" s="38"/>
      <c r="N16" s="51"/>
    </row>
    <row r="17" spans="2:14" hidden="1" outlineLevel="1" x14ac:dyDescent="0.2">
      <c r="B17" t="s">
        <v>138</v>
      </c>
      <c r="F17" s="78">
        <v>1010</v>
      </c>
      <c r="G17" s="37"/>
      <c r="H17" s="96"/>
      <c r="I17" s="97"/>
      <c r="J17" s="97"/>
      <c r="K17" s="97"/>
      <c r="L17" s="37"/>
      <c r="M17" s="38"/>
      <c r="N17" s="51"/>
    </row>
    <row r="18" spans="2:14" hidden="1" outlineLevel="1" x14ac:dyDescent="0.2">
      <c r="B18" t="s">
        <v>139</v>
      </c>
      <c r="F18" s="78">
        <v>1070</v>
      </c>
      <c r="G18" s="37"/>
      <c r="H18" s="96"/>
      <c r="I18" s="97"/>
      <c r="J18" s="97"/>
      <c r="K18" s="97"/>
      <c r="L18" s="37"/>
      <c r="M18" s="38"/>
      <c r="N18" s="51"/>
    </row>
    <row r="19" spans="2:14" hidden="1" outlineLevel="1" x14ac:dyDescent="0.2">
      <c r="B19" t="s">
        <v>140</v>
      </c>
      <c r="F19" s="78"/>
      <c r="G19" s="37"/>
      <c r="H19" s="96"/>
      <c r="I19" s="97"/>
      <c r="J19" s="97"/>
      <c r="K19" s="97"/>
      <c r="L19" s="37"/>
      <c r="M19" s="38"/>
      <c r="N19" s="51"/>
    </row>
    <row r="20" spans="2:14" hidden="1" outlineLevel="1" x14ac:dyDescent="0.2">
      <c r="F20" s="78"/>
      <c r="G20" s="37"/>
      <c r="H20" s="96"/>
      <c r="I20" s="97"/>
      <c r="J20" s="97"/>
      <c r="K20" s="97"/>
      <c r="L20" s="37"/>
      <c r="M20" s="38"/>
      <c r="N20" s="51"/>
    </row>
    <row r="21" spans="2:14" hidden="1" outlineLevel="1" x14ac:dyDescent="0.2">
      <c r="F21" s="78"/>
      <c r="G21" s="41"/>
      <c r="H21" s="100"/>
      <c r="I21" s="101"/>
      <c r="J21" s="101"/>
      <c r="K21" s="97"/>
      <c r="L21" s="37"/>
      <c r="M21" s="38"/>
      <c r="N21" s="51"/>
    </row>
    <row r="22" spans="2:14" hidden="1" outlineLevel="1" x14ac:dyDescent="0.2">
      <c r="B22" s="1" t="s">
        <v>36</v>
      </c>
      <c r="F22" s="78"/>
      <c r="G22" s="54">
        <f t="shared" ref="G22:L22" si="1">SUM(G17:G21)</f>
        <v>0</v>
      </c>
      <c r="H22" s="98">
        <f t="shared" si="1"/>
        <v>0</v>
      </c>
      <c r="I22" s="99">
        <f t="shared" si="1"/>
        <v>0</v>
      </c>
      <c r="J22" s="99">
        <f t="shared" si="1"/>
        <v>0</v>
      </c>
      <c r="K22" s="99">
        <f t="shared" si="1"/>
        <v>0</v>
      </c>
      <c r="L22" s="54">
        <f t="shared" si="1"/>
        <v>0</v>
      </c>
      <c r="M22" s="52">
        <f>IF($D$4=$H$5,H22-L22,IF($D$4=$I$5,I22-L22,IF($D$4=$J$5,J22-L22,K22-L22)))</f>
        <v>0</v>
      </c>
      <c r="N22" s="55">
        <f>IF($D$4=$H$5,H22-G22,IF($D$4=$I$5,I22-G22,IF($D$4=$J$5,J22-G22,K22-G22)))</f>
        <v>0</v>
      </c>
    </row>
    <row r="23" spans="2:14" hidden="1" outlineLevel="1" x14ac:dyDescent="0.2">
      <c r="F23" s="78"/>
      <c r="G23" s="37"/>
      <c r="H23" s="96"/>
      <c r="I23" s="97"/>
      <c r="J23" s="97"/>
      <c r="K23" s="97"/>
      <c r="L23" s="37"/>
      <c r="M23" s="38"/>
      <c r="N23" s="51"/>
    </row>
    <row r="24" spans="2:14" hidden="1" outlineLevel="1" x14ac:dyDescent="0.2">
      <c r="B24" t="s">
        <v>141</v>
      </c>
      <c r="F24" s="78"/>
      <c r="G24" s="37"/>
      <c r="H24" s="96"/>
      <c r="I24" s="97"/>
      <c r="J24" s="97"/>
      <c r="K24" s="97"/>
      <c r="L24" s="37"/>
      <c r="M24" s="38"/>
      <c r="N24" s="51"/>
    </row>
    <row r="25" spans="2:14" hidden="1" outlineLevel="1" x14ac:dyDescent="0.2">
      <c r="B25" t="s">
        <v>142</v>
      </c>
      <c r="F25" s="78"/>
      <c r="G25" s="37"/>
      <c r="H25" s="96"/>
      <c r="I25" s="97"/>
      <c r="J25" s="97"/>
      <c r="K25" s="97"/>
      <c r="L25" s="37"/>
      <c r="M25" s="38"/>
      <c r="N25" s="51"/>
    </row>
    <row r="26" spans="2:14" hidden="1" outlineLevel="1" x14ac:dyDescent="0.2">
      <c r="B26" t="s">
        <v>290</v>
      </c>
      <c r="F26" s="78"/>
      <c r="G26" s="37"/>
      <c r="H26" s="96"/>
      <c r="I26" s="97"/>
      <c r="J26" s="97"/>
      <c r="K26" s="97"/>
      <c r="L26" s="37"/>
      <c r="M26" s="38"/>
      <c r="N26" s="51"/>
    </row>
    <row r="27" spans="2:14" hidden="1" outlineLevel="1" x14ac:dyDescent="0.2">
      <c r="F27" s="78"/>
      <c r="G27" s="37"/>
      <c r="H27" s="96"/>
      <c r="I27" s="97"/>
      <c r="J27" s="97"/>
      <c r="K27" s="97"/>
      <c r="L27" s="37"/>
      <c r="M27" s="38"/>
      <c r="N27" s="51"/>
    </row>
    <row r="28" spans="2:14" hidden="1" outlineLevel="1" x14ac:dyDescent="0.2">
      <c r="F28" s="78"/>
      <c r="G28" s="37"/>
      <c r="H28" s="96"/>
      <c r="I28" s="97"/>
      <c r="J28" s="97"/>
      <c r="K28" s="97"/>
      <c r="L28" s="37"/>
      <c r="M28" s="38"/>
      <c r="N28" s="51"/>
    </row>
    <row r="29" spans="2:14" hidden="1" outlineLevel="1" x14ac:dyDescent="0.2">
      <c r="B29" s="1" t="s">
        <v>37</v>
      </c>
      <c r="F29" s="78"/>
      <c r="G29" s="54">
        <f t="shared" ref="G29:L29" si="2">SUM(G24:G28)</f>
        <v>0</v>
      </c>
      <c r="H29" s="98">
        <f t="shared" si="2"/>
        <v>0</v>
      </c>
      <c r="I29" s="99">
        <f t="shared" si="2"/>
        <v>0</v>
      </c>
      <c r="J29" s="99">
        <f t="shared" si="2"/>
        <v>0</v>
      </c>
      <c r="K29" s="99">
        <f t="shared" si="2"/>
        <v>0</v>
      </c>
      <c r="L29" s="54">
        <f t="shared" si="2"/>
        <v>0</v>
      </c>
      <c r="M29" s="52">
        <f>IF($D$4=$H$5,H29-L29,IF($D$4=$I$5,I29-L29,IF($D$4=$J$5,J29-L29,K29-L29)))</f>
        <v>0</v>
      </c>
      <c r="N29" s="55">
        <f>IF($D$4=$H$5,H29-G29,IF($D$4=$I$5,I29-G29,IF($D$4=$J$5,J29-G29,K29-G29)))</f>
        <v>0</v>
      </c>
    </row>
    <row r="30" spans="2:14" hidden="1" outlineLevel="1" x14ac:dyDescent="0.2">
      <c r="F30" s="78"/>
      <c r="G30" s="37"/>
      <c r="H30" s="96"/>
      <c r="I30" s="97"/>
      <c r="J30" s="97"/>
      <c r="K30" s="97"/>
      <c r="L30" s="37"/>
      <c r="M30" s="38"/>
      <c r="N30" s="51"/>
    </row>
    <row r="31" spans="2:14" hidden="1" outlineLevel="1" x14ac:dyDescent="0.2">
      <c r="B31" s="1" t="s">
        <v>145</v>
      </c>
      <c r="F31" s="78"/>
      <c r="G31" s="39">
        <f t="shared" ref="G31:L31" si="3">+G15+G22+G29</f>
        <v>105058.83</v>
      </c>
      <c r="H31" s="102">
        <f t="shared" si="3"/>
        <v>101512.54</v>
      </c>
      <c r="I31" s="103">
        <f t="shared" si="3"/>
        <v>105460.88</v>
      </c>
      <c r="J31" s="103">
        <f t="shared" si="3"/>
        <v>130080.37</v>
      </c>
      <c r="K31" s="232">
        <f t="shared" si="3"/>
        <v>137440.10999999999</v>
      </c>
      <c r="L31" s="39">
        <f t="shared" si="3"/>
        <v>101670</v>
      </c>
      <c r="M31" s="40">
        <f>IF($D$4=$H$5,H31-L31,IF($D$4=$I$5,I31-L31,IF($D$4=$J$5,J31-L31,K31-L31)))</f>
        <v>35770.109999999986</v>
      </c>
      <c r="N31" s="56">
        <f>IF($D$4=$H$5,H31-G31,IF($D$4=$I$5,I31-G31,IF($D$4=$J$5,J31-G31,K31-G31)))</f>
        <v>32381.279999999984</v>
      </c>
    </row>
    <row r="32" spans="2:14" collapsed="1" x14ac:dyDescent="0.2">
      <c r="F32" s="78"/>
      <c r="G32" s="37"/>
      <c r="H32" s="96"/>
      <c r="I32" s="97"/>
      <c r="J32" s="97"/>
      <c r="K32" s="97"/>
      <c r="L32" s="37"/>
      <c r="M32" s="38"/>
      <c r="N32" s="51"/>
    </row>
    <row r="33" spans="1:16" x14ac:dyDescent="0.2">
      <c r="A33" s="1" t="s">
        <v>148</v>
      </c>
      <c r="F33" s="78"/>
      <c r="G33" s="41"/>
      <c r="H33" s="100"/>
      <c r="I33" s="101"/>
      <c r="J33" s="101"/>
      <c r="K33" s="101"/>
      <c r="L33" s="41"/>
      <c r="M33" s="42"/>
      <c r="N33" s="57"/>
    </row>
    <row r="34" spans="1:16" x14ac:dyDescent="0.2">
      <c r="B34" t="s">
        <v>246</v>
      </c>
      <c r="F34" s="78"/>
      <c r="G34" s="41">
        <v>118969.96</v>
      </c>
      <c r="H34" s="100">
        <v>119161.54</v>
      </c>
      <c r="I34" s="269">
        <v>118969.96</v>
      </c>
      <c r="J34" s="101">
        <v>117373.43</v>
      </c>
      <c r="K34" s="101">
        <v>117117.98</v>
      </c>
      <c r="L34" s="41">
        <v>120000</v>
      </c>
      <c r="M34" s="42">
        <f>IF($D$4=$H$5,H34-L34,IF($D$4=$I$5,I34-L34,IF($D$4=$J$5,J34-L34,K34-L34)))</f>
        <v>-2882.0200000000041</v>
      </c>
      <c r="N34" s="57"/>
    </row>
    <row r="35" spans="1:16" x14ac:dyDescent="0.2">
      <c r="F35" s="78"/>
      <c r="G35" s="41"/>
      <c r="H35" s="100"/>
      <c r="I35" s="101"/>
      <c r="J35" s="101"/>
      <c r="K35" s="101"/>
      <c r="L35" s="41"/>
      <c r="M35" s="42"/>
      <c r="N35" s="57"/>
    </row>
    <row r="36" spans="1:16" x14ac:dyDescent="0.2">
      <c r="F36" s="78"/>
      <c r="G36" s="37"/>
      <c r="H36" s="96"/>
      <c r="I36" s="97"/>
      <c r="J36" s="97"/>
      <c r="K36" s="97"/>
      <c r="L36" s="37"/>
      <c r="M36" s="38"/>
      <c r="N36" s="51"/>
    </row>
    <row r="37" spans="1:16" x14ac:dyDescent="0.2">
      <c r="B37" s="1" t="s">
        <v>149</v>
      </c>
      <c r="F37" s="78"/>
      <c r="G37" s="54">
        <f t="shared" ref="G37:L37" si="4">SUM(G34:G36)</f>
        <v>118969.96</v>
      </c>
      <c r="H37" s="98">
        <f t="shared" si="4"/>
        <v>119161.54</v>
      </c>
      <c r="I37" s="99">
        <f t="shared" si="4"/>
        <v>118969.96</v>
      </c>
      <c r="J37" s="99">
        <f t="shared" si="4"/>
        <v>117373.43</v>
      </c>
      <c r="K37" s="99">
        <f t="shared" si="4"/>
        <v>117117.98</v>
      </c>
      <c r="L37" s="54">
        <f t="shared" si="4"/>
        <v>120000</v>
      </c>
      <c r="M37" s="53">
        <f>IF($D$4=$H$5,H37-L37,IF($D$4=$I$5,I37-L37,IF($D$4=$J$5,J37-L37,K37-L37)))</f>
        <v>-2882.0200000000041</v>
      </c>
      <c r="N37" s="55">
        <f>IF($D$4=$H$5,H37-G37,IF($D$4=$I$5,I37-G37,IF($D$4=$J$5,J37-G37,K37-G37)))</f>
        <v>-1851.9800000000105</v>
      </c>
    </row>
    <row r="38" spans="1:16" x14ac:dyDescent="0.2">
      <c r="F38" s="78"/>
      <c r="G38" s="37"/>
      <c r="H38" s="96"/>
      <c r="I38" s="97"/>
      <c r="J38" s="97"/>
      <c r="K38" s="97"/>
      <c r="L38" s="37"/>
      <c r="M38" s="38"/>
      <c r="N38" s="51"/>
    </row>
    <row r="39" spans="1:16" outlineLevel="1" x14ac:dyDescent="0.2">
      <c r="A39" s="1" t="s">
        <v>248</v>
      </c>
      <c r="B39" s="1"/>
      <c r="F39" s="78"/>
      <c r="G39" s="37"/>
      <c r="H39" s="96"/>
      <c r="I39" s="97"/>
      <c r="J39" s="97"/>
      <c r="K39" s="97"/>
      <c r="L39" s="37"/>
      <c r="M39" s="38"/>
      <c r="N39" s="51"/>
    </row>
    <row r="40" spans="1:16" outlineLevel="1" x14ac:dyDescent="0.2">
      <c r="B40" t="s">
        <v>151</v>
      </c>
      <c r="F40" s="78"/>
      <c r="G40" s="37"/>
      <c r="H40" s="96"/>
      <c r="I40" s="97"/>
      <c r="J40" s="97"/>
      <c r="K40" s="97"/>
      <c r="L40" s="37"/>
      <c r="M40" s="38"/>
      <c r="N40" s="51"/>
    </row>
    <row r="41" spans="1:16" outlineLevel="1" x14ac:dyDescent="0.2">
      <c r="B41" t="s">
        <v>35</v>
      </c>
      <c r="F41" s="78"/>
      <c r="G41" s="37"/>
      <c r="H41" s="96"/>
      <c r="I41" s="97"/>
      <c r="J41" s="97"/>
      <c r="K41" s="97"/>
      <c r="L41" s="37"/>
      <c r="M41" s="38"/>
      <c r="N41" s="51"/>
    </row>
    <row r="42" spans="1:16" outlineLevel="1" x14ac:dyDescent="0.2">
      <c r="F42" s="78"/>
      <c r="G42" s="37"/>
      <c r="H42" s="96"/>
      <c r="I42" s="97"/>
      <c r="J42" s="97"/>
      <c r="K42" s="97"/>
      <c r="L42" s="37"/>
      <c r="M42" s="38"/>
      <c r="N42" s="51"/>
    </row>
    <row r="43" spans="1:16" x14ac:dyDescent="0.2">
      <c r="B43" s="1" t="s">
        <v>25</v>
      </c>
      <c r="F43" s="78"/>
      <c r="G43" s="54">
        <f t="shared" ref="G43:L43" si="5">SUM(G40:G42)</f>
        <v>0</v>
      </c>
      <c r="H43" s="98">
        <f t="shared" si="5"/>
        <v>0</v>
      </c>
      <c r="I43" s="99">
        <f t="shared" si="5"/>
        <v>0</v>
      </c>
      <c r="J43" s="99">
        <f t="shared" si="5"/>
        <v>0</v>
      </c>
      <c r="K43" s="99">
        <f t="shared" si="5"/>
        <v>0</v>
      </c>
      <c r="L43" s="54">
        <f t="shared" si="5"/>
        <v>0</v>
      </c>
      <c r="M43" s="52">
        <f>IF($D$4=$H$5,H43-L43,IF($D$4=$I$5,I43-L43,IF($D$4=$J$5,J43-L43,K43-L43)))</f>
        <v>0</v>
      </c>
      <c r="N43" s="55">
        <f>IF($D$4=$H$5,H43-G43,IF($D$4=$I$5,I43-G43,IF($D$4=$J$5,J43-G43,K43-G43)))</f>
        <v>0</v>
      </c>
    </row>
    <row r="44" spans="1:16" x14ac:dyDescent="0.2">
      <c r="F44" s="78"/>
      <c r="G44" s="37"/>
      <c r="H44" s="96"/>
      <c r="I44" s="97"/>
      <c r="J44" s="97"/>
      <c r="K44" s="97"/>
      <c r="L44" s="37"/>
      <c r="M44" s="38"/>
      <c r="N44" s="51"/>
    </row>
    <row r="45" spans="1:16" ht="13.2" thickBot="1" x14ac:dyDescent="0.25">
      <c r="A45" s="1" t="s">
        <v>38</v>
      </c>
      <c r="F45" s="78"/>
      <c r="G45" s="254">
        <f t="shared" ref="G45:L45" si="6">+G43+G37+G31</f>
        <v>224028.79</v>
      </c>
      <c r="H45" s="104">
        <f t="shared" si="6"/>
        <v>220674.08</v>
      </c>
      <c r="I45" s="105">
        <f t="shared" si="6"/>
        <v>224430.84000000003</v>
      </c>
      <c r="J45" s="105">
        <f t="shared" si="6"/>
        <v>247453.8</v>
      </c>
      <c r="K45" s="233">
        <f t="shared" si="6"/>
        <v>254558.08999999997</v>
      </c>
      <c r="L45" s="43">
        <f t="shared" si="6"/>
        <v>221670</v>
      </c>
      <c r="M45" s="45">
        <f>IF($D$4=$H$5,H45-L45,IF($D$4=$I$5,I45-L45,IF($D$4=$J$5,J45-L45,K45-L45)))</f>
        <v>32888.089999999967</v>
      </c>
      <c r="N45" s="58">
        <f>IF($D$4=$H$5,H45-G45,IF($D$4=$I$5,I45-G45,IF($D$4=$J$5,J45-G45,K45-G45)))</f>
        <v>30529.299999999959</v>
      </c>
    </row>
    <row r="46" spans="1:16" ht="13.2" thickTop="1" x14ac:dyDescent="0.2">
      <c r="F46" s="78"/>
      <c r="G46" s="37"/>
      <c r="H46" s="96"/>
      <c r="I46" s="97"/>
      <c r="J46" s="97"/>
      <c r="K46" s="97"/>
      <c r="L46" s="37"/>
      <c r="M46" s="38"/>
      <c r="N46" s="51"/>
    </row>
    <row r="47" spans="1:16" x14ac:dyDescent="0.2">
      <c r="A47" s="1" t="s">
        <v>42</v>
      </c>
      <c r="F47" s="78"/>
      <c r="G47" s="37"/>
      <c r="H47" s="96"/>
      <c r="I47" s="97"/>
      <c r="J47" s="97"/>
      <c r="K47" s="97"/>
      <c r="L47" s="37"/>
      <c r="M47" s="38"/>
      <c r="N47" s="51"/>
      <c r="P47" s="15"/>
    </row>
    <row r="48" spans="1:16" x14ac:dyDescent="0.2">
      <c r="B48" t="s">
        <v>39</v>
      </c>
      <c r="F48" s="78">
        <v>2020</v>
      </c>
      <c r="G48" s="37">
        <v>2110</v>
      </c>
      <c r="H48" s="96">
        <v>2615</v>
      </c>
      <c r="I48" s="97">
        <f>45-0.17</f>
        <v>44.83</v>
      </c>
      <c r="J48" s="97">
        <f>45-0.17</f>
        <v>44.83</v>
      </c>
      <c r="K48" s="97">
        <f>45+2045-0.17</f>
        <v>2089.83</v>
      </c>
      <c r="L48" s="37">
        <v>1000</v>
      </c>
      <c r="M48" s="38"/>
      <c r="N48" s="51"/>
    </row>
    <row r="49" spans="1:14" x14ac:dyDescent="0.2">
      <c r="B49" t="s">
        <v>40</v>
      </c>
      <c r="F49" s="78">
        <v>2010</v>
      </c>
      <c r="G49" s="37"/>
      <c r="H49" s="96"/>
      <c r="I49" s="97"/>
      <c r="J49" s="97"/>
      <c r="K49" s="97"/>
      <c r="L49" s="37"/>
      <c r="M49" s="38"/>
      <c r="N49" s="51"/>
    </row>
    <row r="50" spans="1:14" x14ac:dyDescent="0.2">
      <c r="B50" t="s">
        <v>41</v>
      </c>
      <c r="F50" s="78">
        <v>3111</v>
      </c>
      <c r="G50" s="37"/>
      <c r="H50" s="96"/>
      <c r="I50" s="101"/>
      <c r="J50" s="97"/>
      <c r="K50" s="97"/>
      <c r="L50" s="37"/>
      <c r="M50" s="38"/>
      <c r="N50" s="51"/>
    </row>
    <row r="51" spans="1:14" x14ac:dyDescent="0.2">
      <c r="B51" t="s">
        <v>214</v>
      </c>
      <c r="F51" s="78">
        <v>2040</v>
      </c>
      <c r="G51" s="37"/>
      <c r="H51" s="96"/>
      <c r="I51" s="97"/>
      <c r="J51" s="97"/>
      <c r="K51" s="97"/>
      <c r="L51" s="37"/>
      <c r="M51" s="38"/>
      <c r="N51" s="51"/>
    </row>
    <row r="52" spans="1:14" x14ac:dyDescent="0.2">
      <c r="B52" t="s">
        <v>76</v>
      </c>
      <c r="F52" s="78"/>
      <c r="G52" s="37"/>
      <c r="H52" s="96"/>
      <c r="I52" s="97"/>
      <c r="J52" s="97"/>
      <c r="K52" s="97"/>
      <c r="L52" s="37"/>
      <c r="M52" s="38"/>
      <c r="N52" s="51"/>
    </row>
    <row r="53" spans="1:14" x14ac:dyDescent="0.2">
      <c r="F53" s="78"/>
      <c r="G53" s="37"/>
      <c r="H53" s="96"/>
      <c r="I53" s="97"/>
      <c r="J53" s="97"/>
      <c r="K53" s="97"/>
      <c r="L53" s="37"/>
      <c r="M53" s="38"/>
      <c r="N53" s="51"/>
    </row>
    <row r="54" spans="1:14" x14ac:dyDescent="0.2">
      <c r="F54" s="78"/>
      <c r="G54" s="37"/>
      <c r="H54" s="96"/>
      <c r="I54" s="97"/>
      <c r="J54" s="97"/>
      <c r="K54" s="97"/>
      <c r="L54" s="37"/>
      <c r="M54" s="38"/>
      <c r="N54" s="51"/>
    </row>
    <row r="55" spans="1:14" x14ac:dyDescent="0.2">
      <c r="B55" s="1" t="s">
        <v>43</v>
      </c>
      <c r="F55" s="78"/>
      <c r="G55" s="54">
        <f t="shared" ref="G55:L55" si="7">SUM(G48:G54)</f>
        <v>2110</v>
      </c>
      <c r="H55" s="98">
        <f t="shared" si="7"/>
        <v>2615</v>
      </c>
      <c r="I55" s="99">
        <f t="shared" si="7"/>
        <v>44.83</v>
      </c>
      <c r="J55" s="99">
        <f t="shared" si="7"/>
        <v>44.83</v>
      </c>
      <c r="K55" s="99">
        <f t="shared" si="7"/>
        <v>2089.83</v>
      </c>
      <c r="L55" s="54">
        <f t="shared" si="7"/>
        <v>1000</v>
      </c>
      <c r="M55" s="53">
        <f>IF($D$4=$H$5,H55-L55,IF($D$4=$I$5,I55-L55,IF($D$4=$J$5,J55-L55,K55-L55)))</f>
        <v>1089.83</v>
      </c>
      <c r="N55" s="55">
        <f>IF($D$4=$H$5,H55-G55,IF($D$4=$I$5,I55-G55,IF($D$4=$J$5,J55-G55,K55-G55)))</f>
        <v>-20.170000000000073</v>
      </c>
    </row>
    <row r="56" spans="1:14" x14ac:dyDescent="0.2">
      <c r="F56" s="78"/>
      <c r="G56" s="37"/>
      <c r="H56" s="96"/>
      <c r="I56" s="97"/>
      <c r="J56" s="97"/>
      <c r="K56" s="97"/>
      <c r="L56" s="37"/>
      <c r="M56" s="38"/>
      <c r="N56" s="51"/>
    </row>
    <row r="57" spans="1:14" x14ac:dyDescent="0.2">
      <c r="A57" s="1" t="s">
        <v>44</v>
      </c>
      <c r="F57" s="78"/>
      <c r="G57" s="37"/>
      <c r="H57" s="96"/>
      <c r="I57" s="97"/>
      <c r="J57" s="97"/>
      <c r="K57" s="97"/>
      <c r="L57" s="37"/>
      <c r="M57" s="38"/>
      <c r="N57" s="51"/>
    </row>
    <row r="58" spans="1:14" ht="13.2" x14ac:dyDescent="0.25">
      <c r="B58" s="60" t="s">
        <v>416</v>
      </c>
      <c r="F58" s="78" t="s">
        <v>77</v>
      </c>
      <c r="G58" s="37">
        <f>G11+G34-G59</f>
        <v>110084.45300000001</v>
      </c>
      <c r="H58" s="96">
        <f>H11+H34-H59</f>
        <v>110088.95</v>
      </c>
      <c r="I58" s="236">
        <f>I11+I34-I59</f>
        <v>110093.49</v>
      </c>
      <c r="J58" s="236">
        <f>J11+J34-J59</f>
        <v>135099.13</v>
      </c>
      <c r="K58" s="236">
        <f>K11+K34-K59</f>
        <v>132602.09000000003</v>
      </c>
      <c r="L58" s="37">
        <v>110000</v>
      </c>
      <c r="M58" s="38">
        <f>IF($D$4=$H$5,H58-L58,IF($D$4=$I$5,I58-L58,IF($D$4=$J$5,J58-L58,K58-L58)))</f>
        <v>22602.090000000026</v>
      </c>
      <c r="N58" s="51"/>
    </row>
    <row r="59" spans="1:14" x14ac:dyDescent="0.2">
      <c r="B59" t="s">
        <v>115</v>
      </c>
      <c r="F59" s="78"/>
      <c r="G59" s="37">
        <f>118969.967-50000</f>
        <v>68969.967000000004</v>
      </c>
      <c r="H59" s="96">
        <f>119161.54-50000</f>
        <v>69161.539999999994</v>
      </c>
      <c r="I59" s="236">
        <f>118969.96-50000</f>
        <v>68969.960000000006</v>
      </c>
      <c r="J59" s="101">
        <f>117373.43-50000</f>
        <v>67373.429999999993</v>
      </c>
      <c r="K59" s="97">
        <f>117117.98-50000</f>
        <v>67117.98</v>
      </c>
      <c r="L59" s="37">
        <v>70000</v>
      </c>
      <c r="M59" s="38">
        <f>IF($D$4=$H$5,H59-L59,IF($D$4=$I$5,I59-L59,IF($D$4=$J$5,J59-L59,K59-L59)))</f>
        <v>-2882.0200000000041</v>
      </c>
      <c r="N59" s="51"/>
    </row>
    <row r="60" spans="1:14" x14ac:dyDescent="0.2">
      <c r="B60" t="s">
        <v>32</v>
      </c>
      <c r="F60" s="78"/>
      <c r="G60" s="37">
        <f>44974.37-2110</f>
        <v>42864.37</v>
      </c>
      <c r="H60" s="96">
        <f>41423.59-2615</f>
        <v>38808.589999999997</v>
      </c>
      <c r="I60" s="236">
        <f>53469.39-45+0.17-8102</f>
        <v>45322.559999999998</v>
      </c>
      <c r="J60" s="97">
        <f>44981.24-45+0.17</f>
        <v>44936.409999999996</v>
      </c>
      <c r="K60" s="97">
        <f>54838.02-2090+0.17</f>
        <v>52748.189999999995</v>
      </c>
      <c r="L60" s="37">
        <f>64100-18014-16-300-100-5000</f>
        <v>40670</v>
      </c>
      <c r="M60" s="38">
        <f>IF($D$4=$H$5,H60-L60,IF($D$4=$I$5,I60-L60,IF($D$4=$J$5,J60-L60,K60-L60)))</f>
        <v>12078.189999999995</v>
      </c>
      <c r="N60" s="51"/>
    </row>
    <row r="61" spans="1:14" x14ac:dyDescent="0.2">
      <c r="F61" s="78"/>
      <c r="G61" s="37"/>
      <c r="H61" s="96"/>
      <c r="I61" s="97"/>
      <c r="J61" s="97"/>
      <c r="K61" s="97"/>
      <c r="L61" s="37"/>
      <c r="M61" s="38"/>
      <c r="N61" s="51"/>
    </row>
    <row r="62" spans="1:14" x14ac:dyDescent="0.2">
      <c r="B62" s="1" t="s">
        <v>73</v>
      </c>
      <c r="F62" s="78"/>
      <c r="G62" s="54">
        <f>SUM(G58:G61)</f>
        <v>221918.79</v>
      </c>
      <c r="H62" s="98">
        <f t="shared" ref="H62:M62" si="8">SUM(H58:H61)</f>
        <v>218059.08</v>
      </c>
      <c r="I62" s="99">
        <f t="shared" si="8"/>
        <v>224386.01</v>
      </c>
      <c r="J62" s="99">
        <f t="shared" si="8"/>
        <v>247408.97</v>
      </c>
      <c r="K62" s="99">
        <f t="shared" si="8"/>
        <v>252468.26</v>
      </c>
      <c r="L62" s="54">
        <f>SUM(L58:L61)</f>
        <v>220670</v>
      </c>
      <c r="M62" s="53">
        <f t="shared" si="8"/>
        <v>31798.260000000017</v>
      </c>
      <c r="N62" s="55">
        <f>IF($D$4=$H$5,H62-G62,IF($D$4=$I$5,I62-G62,IF($D$4=$J$5,J62-G62,K62-G62)))</f>
        <v>30549.47</v>
      </c>
    </row>
    <row r="63" spans="1:14" x14ac:dyDescent="0.2">
      <c r="F63" s="78"/>
      <c r="G63" s="37"/>
      <c r="H63" s="96"/>
      <c r="I63" s="97"/>
      <c r="J63" s="97"/>
      <c r="K63" s="97"/>
      <c r="L63" s="37"/>
      <c r="M63" s="38"/>
      <c r="N63" s="51"/>
    </row>
    <row r="64" spans="1:14" ht="13.2" thickBot="1" x14ac:dyDescent="0.25">
      <c r="A64" s="1" t="s">
        <v>126</v>
      </c>
      <c r="F64" s="82"/>
      <c r="G64" s="43">
        <f t="shared" ref="G64:L64" si="9">+G55+G62</f>
        <v>224028.79</v>
      </c>
      <c r="H64" s="104">
        <f t="shared" si="9"/>
        <v>220674.08</v>
      </c>
      <c r="I64" s="105">
        <f t="shared" si="9"/>
        <v>224430.84</v>
      </c>
      <c r="J64" s="105">
        <f t="shared" si="9"/>
        <v>247453.8</v>
      </c>
      <c r="K64" s="233">
        <f t="shared" si="9"/>
        <v>254558.09</v>
      </c>
      <c r="L64" s="43">
        <f t="shared" si="9"/>
        <v>221670</v>
      </c>
      <c r="M64" s="44">
        <f>IF($D$4=$H$5,H64-L64,IF($D$4=$I$5,I64-L64,IF($D$4=$J$5,J64-L64,K64-L64)))</f>
        <v>32888.089999999997</v>
      </c>
      <c r="N64" s="58">
        <f>IF($D$4=$H$5,H64-G64,IF($D$4=$I$5,I64-G64,IF($D$4=$J$5,J64-G64,K64-G64)))</f>
        <v>30529.299999999988</v>
      </c>
    </row>
    <row r="65" spans="1:14" ht="13.2" thickTop="1" x14ac:dyDescent="0.2">
      <c r="F65" s="9"/>
      <c r="G65" s="34"/>
      <c r="H65" s="97"/>
      <c r="I65" s="93"/>
      <c r="J65" s="93"/>
      <c r="K65" s="93"/>
      <c r="L65" s="38"/>
      <c r="M65" s="34"/>
      <c r="N65" s="34"/>
    </row>
    <row r="66" spans="1:14" x14ac:dyDescent="0.2">
      <c r="A66" t="s">
        <v>85</v>
      </c>
      <c r="F66" s="9"/>
      <c r="G66" s="249">
        <f t="shared" ref="G66:L66" si="10">+G45-G64</f>
        <v>0</v>
      </c>
      <c r="H66" s="107">
        <f t="shared" si="10"/>
        <v>0</v>
      </c>
      <c r="I66" s="107">
        <f t="shared" si="10"/>
        <v>0</v>
      </c>
      <c r="J66" s="107">
        <f t="shared" si="10"/>
        <v>0</v>
      </c>
      <c r="K66" s="107">
        <f t="shared" si="10"/>
        <v>0</v>
      </c>
      <c r="L66" s="249">
        <f t="shared" si="10"/>
        <v>0</v>
      </c>
      <c r="M66" s="228">
        <f>ROUND(M45-M64,3)</f>
        <v>0</v>
      </c>
      <c r="N66" s="59">
        <f>IF(+N45-N64&lt;ABS(0.000001),0,+N45-N64)</f>
        <v>0</v>
      </c>
    </row>
    <row r="67" spans="1:14" x14ac:dyDescent="0.2">
      <c r="H67" s="226"/>
      <c r="I67" s="87"/>
      <c r="J67" s="87"/>
      <c r="K67" s="87"/>
      <c r="L67" s="229"/>
    </row>
    <row r="68" spans="1:14" x14ac:dyDescent="0.2">
      <c r="H68" s="226"/>
      <c r="I68" s="87"/>
      <c r="J68" s="87"/>
      <c r="K68" s="83"/>
    </row>
    <row r="69" spans="1:14" x14ac:dyDescent="0.2">
      <c r="H69" s="87"/>
      <c r="I69" s="87"/>
      <c r="J69" s="87"/>
      <c r="K69" s="87"/>
    </row>
    <row r="70" spans="1:14" x14ac:dyDescent="0.2">
      <c r="A70" s="1" t="s">
        <v>117</v>
      </c>
      <c r="F70" s="13"/>
      <c r="G70" s="13"/>
      <c r="H70" s="108"/>
      <c r="I70" s="108"/>
      <c r="J70" s="108"/>
      <c r="K70" s="108"/>
    </row>
    <row r="71" spans="1:14" x14ac:dyDescent="0.2">
      <c r="B71" t="s">
        <v>118</v>
      </c>
      <c r="F71" s="12">
        <v>3115</v>
      </c>
      <c r="G71" s="111"/>
      <c r="H71" s="109"/>
      <c r="I71" s="110"/>
      <c r="J71" s="110"/>
      <c r="K71" s="111"/>
      <c r="L71" s="23"/>
    </row>
    <row r="72" spans="1:14" x14ac:dyDescent="0.2">
      <c r="B72" t="s">
        <v>119</v>
      </c>
      <c r="F72" s="3">
        <v>3116</v>
      </c>
      <c r="G72" s="111"/>
      <c r="H72" s="109"/>
      <c r="I72" s="110"/>
      <c r="J72" s="110"/>
      <c r="K72" s="111"/>
      <c r="L72" s="32"/>
    </row>
    <row r="73" spans="1:14" x14ac:dyDescent="0.2">
      <c r="B73" t="s">
        <v>120</v>
      </c>
      <c r="F73" s="3">
        <v>3112</v>
      </c>
      <c r="G73" s="111"/>
      <c r="H73" s="109"/>
      <c r="I73" s="110"/>
      <c r="J73" s="110"/>
      <c r="K73" s="111"/>
      <c r="L73" s="32"/>
    </row>
    <row r="74" spans="1:14" x14ac:dyDescent="0.2">
      <c r="B74" t="s">
        <v>121</v>
      </c>
      <c r="F74" s="3">
        <v>3113</v>
      </c>
      <c r="G74" s="111"/>
      <c r="H74" s="109"/>
      <c r="I74" s="110"/>
      <c r="J74" s="110"/>
      <c r="K74" s="111"/>
      <c r="L74" s="32"/>
    </row>
    <row r="75" spans="1:14" x14ac:dyDescent="0.2">
      <c r="B75" t="s">
        <v>82</v>
      </c>
      <c r="F75" s="3">
        <v>3117</v>
      </c>
      <c r="G75" s="111"/>
      <c r="H75" s="109"/>
      <c r="I75" s="110"/>
      <c r="J75" s="110"/>
      <c r="K75" s="111"/>
      <c r="L75" s="32"/>
    </row>
    <row r="76" spans="1:14" x14ac:dyDescent="0.2">
      <c r="B76" t="s">
        <v>20</v>
      </c>
      <c r="F76" s="3">
        <v>3118</v>
      </c>
      <c r="G76" s="111"/>
      <c r="H76" s="109"/>
      <c r="I76" s="110"/>
      <c r="J76" s="110"/>
      <c r="K76" s="111"/>
      <c r="L76" s="32"/>
    </row>
    <row r="77" spans="1:14" x14ac:dyDescent="0.2">
      <c r="B77" t="s">
        <v>22</v>
      </c>
      <c r="F77" s="3">
        <v>3119</v>
      </c>
      <c r="G77" s="111"/>
      <c r="H77" s="109"/>
      <c r="I77" s="110"/>
      <c r="J77" s="110"/>
      <c r="K77" s="111"/>
      <c r="L77" s="32"/>
    </row>
    <row r="78" spans="1:14" x14ac:dyDescent="0.2">
      <c r="B78" t="s">
        <v>23</v>
      </c>
      <c r="F78" s="3">
        <v>3120</v>
      </c>
      <c r="G78" s="19"/>
      <c r="H78" s="109"/>
      <c r="I78" s="110"/>
      <c r="J78" s="110"/>
      <c r="K78" s="111"/>
      <c r="L78" s="32"/>
    </row>
    <row r="79" spans="1:14" x14ac:dyDescent="0.2">
      <c r="B79" t="s">
        <v>24</v>
      </c>
      <c r="F79" s="3">
        <v>3121</v>
      </c>
      <c r="G79" s="19"/>
      <c r="H79" s="109"/>
      <c r="I79" s="110"/>
      <c r="J79" s="110"/>
      <c r="K79" s="111"/>
      <c r="L79" s="32"/>
    </row>
    <row r="80" spans="1:14" x14ac:dyDescent="0.2">
      <c r="B80" t="s">
        <v>144</v>
      </c>
      <c r="F80" s="3">
        <v>3122</v>
      </c>
      <c r="G80" s="19"/>
      <c r="H80" s="109"/>
      <c r="I80" s="110"/>
      <c r="J80" s="110"/>
      <c r="K80" s="111"/>
      <c r="L80" s="32"/>
    </row>
    <row r="81" spans="2:12" x14ac:dyDescent="0.2">
      <c r="B81" t="s">
        <v>28</v>
      </c>
      <c r="F81" s="3">
        <v>3123</v>
      </c>
      <c r="G81" s="19"/>
      <c r="H81" s="109"/>
      <c r="I81" s="110"/>
      <c r="J81" s="110"/>
      <c r="K81" s="111"/>
      <c r="L81" s="32"/>
    </row>
    <row r="82" spans="2:12" x14ac:dyDescent="0.2">
      <c r="F82" s="3"/>
      <c r="G82" s="19"/>
      <c r="H82" s="109"/>
      <c r="I82" s="110"/>
      <c r="J82" s="110"/>
      <c r="K82" s="111"/>
      <c r="L82" s="32"/>
    </row>
    <row r="83" spans="2:12" x14ac:dyDescent="0.2">
      <c r="F83" s="20"/>
      <c r="G83" s="19"/>
      <c r="H83" s="109"/>
      <c r="I83" s="110"/>
      <c r="J83" s="110"/>
      <c r="K83" s="111"/>
      <c r="L83" s="32"/>
    </row>
    <row r="84" spans="2:12" ht="13.2" thickBot="1" x14ac:dyDescent="0.25">
      <c r="B84" s="1" t="s">
        <v>30</v>
      </c>
      <c r="F84" s="21"/>
      <c r="G84" s="22">
        <f>SUM(G71:G83)</f>
        <v>0</v>
      </c>
      <c r="H84" s="112">
        <f>SUM(H71:H83)</f>
        <v>0</v>
      </c>
      <c r="I84" s="113">
        <f>SUM(I71:I83)</f>
        <v>0</v>
      </c>
      <c r="J84" s="113">
        <f>SUM(J71:J83)</f>
        <v>0</v>
      </c>
      <c r="K84" s="114">
        <f>SUM(K71:K83)</f>
        <v>0</v>
      </c>
      <c r="L84" s="33"/>
    </row>
    <row r="85" spans="2:12" ht="13.2" thickTop="1" x14ac:dyDescent="0.2"/>
  </sheetData>
  <sheetProtection algorithmName="SHA-512" hashValue="VcWZsYiN/RB7i67Wh9toRX2A2fKSv10oV/5iMB2KBYh5y1kgLIYf0xcenMwbXfl3MEj/1Gl4D4lyqh7YwqAL+w==" saltValue="UNZcHbEr1Q17e7iEkbWzvA==" spinCount="100000" sheet="1" objects="1" scenarios="1"/>
  <phoneticPr fontId="4" type="noConversion"/>
  <pageMargins left="0.75" right="0.75" top="1" bottom="1" header="0.5" footer="0.5"/>
  <pageSetup scale="53" orientation="landscape" horizontalDpi="4294967292" verticalDpi="4294967292" r:id="rId1"/>
  <headerFooter alignWithMargins="0">
    <oddFooter>&amp;L&amp;F&amp;C&amp;D&amp;R&amp;A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49"/>
    <pageSetUpPr fitToPage="1"/>
  </sheetPr>
  <dimension ref="A1:P33"/>
  <sheetViews>
    <sheetView zoomScaleNormal="100" workbookViewId="0"/>
  </sheetViews>
  <sheetFormatPr defaultColWidth="11.08984375" defaultRowHeight="12.6" x14ac:dyDescent="0.2"/>
  <cols>
    <col min="1" max="1" width="5.7265625" style="116" customWidth="1"/>
    <col min="2" max="2" width="5.08984375" style="116" customWidth="1"/>
    <col min="3" max="3" width="4.6328125" style="116" customWidth="1"/>
    <col min="4" max="4" width="4.36328125" style="116" customWidth="1"/>
    <col min="5" max="5" width="4.7265625" style="116" customWidth="1"/>
    <col min="6" max="6" width="7.6328125" style="116" customWidth="1"/>
    <col min="7" max="7" width="12" style="116" customWidth="1"/>
    <col min="8" max="8" width="12.26953125" style="116" bestFit="1" customWidth="1"/>
    <col min="9" max="9" width="11.08984375" style="116"/>
    <col min="10" max="10" width="12.90625" style="116" customWidth="1"/>
    <col min="11" max="11" width="11.08984375" style="116"/>
    <col min="12" max="12" width="12" style="116" customWidth="1"/>
    <col min="13" max="13" width="12.08984375" style="116" customWidth="1"/>
    <col min="14" max="16384" width="11.08984375" style="116"/>
  </cols>
  <sheetData>
    <row r="1" spans="1:15" ht="16.2" x14ac:dyDescent="0.3">
      <c r="A1" s="115" t="s">
        <v>188</v>
      </c>
    </row>
    <row r="2" spans="1:15" x14ac:dyDescent="0.2">
      <c r="A2" s="117" t="s">
        <v>79</v>
      </c>
    </row>
    <row r="3" spans="1:15" ht="13.2" thickBot="1" x14ac:dyDescent="0.25">
      <c r="A3" s="118" t="s">
        <v>266</v>
      </c>
      <c r="H3" s="116">
        <v>1</v>
      </c>
      <c r="I3" s="116">
        <v>2</v>
      </c>
      <c r="J3" s="116">
        <v>3</v>
      </c>
      <c r="K3" s="116">
        <v>4</v>
      </c>
    </row>
    <row r="4" spans="1:15" customFormat="1" ht="13.2" thickBot="1" x14ac:dyDescent="0.25">
      <c r="A4" s="1" t="s">
        <v>34</v>
      </c>
      <c r="E4" s="18">
        <v>4</v>
      </c>
      <c r="G4" s="63" t="s">
        <v>263</v>
      </c>
      <c r="H4" s="8" t="s">
        <v>134</v>
      </c>
      <c r="I4" s="6" t="s">
        <v>134</v>
      </c>
      <c r="J4" s="6" t="s">
        <v>134</v>
      </c>
      <c r="K4" s="6" t="s">
        <v>134</v>
      </c>
      <c r="L4" s="72" t="s">
        <v>29</v>
      </c>
      <c r="M4" s="30" t="s">
        <v>19</v>
      </c>
      <c r="N4" s="73" t="s">
        <v>135</v>
      </c>
      <c r="O4" s="64" t="s">
        <v>136</v>
      </c>
    </row>
    <row r="5" spans="1:15" customFormat="1" x14ac:dyDescent="0.2">
      <c r="G5" s="62" t="s">
        <v>426</v>
      </c>
      <c r="H5" s="69">
        <v>41089</v>
      </c>
      <c r="I5" s="70">
        <v>41181</v>
      </c>
      <c r="J5" s="70">
        <v>41273</v>
      </c>
      <c r="K5" s="7">
        <v>41363</v>
      </c>
      <c r="L5" s="31" t="s">
        <v>438</v>
      </c>
      <c r="M5" s="27" t="s">
        <v>438</v>
      </c>
      <c r="N5" s="74" t="s">
        <v>19</v>
      </c>
      <c r="O5" s="66" t="s">
        <v>125</v>
      </c>
    </row>
    <row r="6" spans="1:15" x14ac:dyDescent="0.2">
      <c r="G6" s="255"/>
      <c r="L6" s="120"/>
      <c r="M6" s="120"/>
      <c r="O6" s="121"/>
    </row>
    <row r="7" spans="1:15" x14ac:dyDescent="0.2">
      <c r="A7" s="118" t="s">
        <v>425</v>
      </c>
      <c r="G7" s="122">
        <v>108387.28</v>
      </c>
      <c r="H7" s="123">
        <f>G25</f>
        <v>105059</v>
      </c>
      <c r="I7" s="123">
        <f>H25</f>
        <v>101512.71</v>
      </c>
      <c r="J7" s="123">
        <f>I25</f>
        <v>105460.88</v>
      </c>
      <c r="K7" s="123">
        <f>J25</f>
        <v>130080.37</v>
      </c>
      <c r="L7" s="122">
        <f>G25</f>
        <v>105059</v>
      </c>
      <c r="M7" s="122">
        <f>L7</f>
        <v>105059</v>
      </c>
      <c r="N7" s="123">
        <f>L7-M7</f>
        <v>0</v>
      </c>
      <c r="O7" s="124">
        <f>L7-G7</f>
        <v>-3328.2799999999988</v>
      </c>
    </row>
    <row r="8" spans="1:15" x14ac:dyDescent="0.2">
      <c r="G8" s="125"/>
      <c r="H8" s="126"/>
      <c r="I8" s="126"/>
      <c r="J8" s="126"/>
      <c r="K8" s="126"/>
      <c r="L8" s="125"/>
      <c r="M8" s="125"/>
      <c r="N8" s="126"/>
      <c r="O8" s="127"/>
    </row>
    <row r="9" spans="1:15" x14ac:dyDescent="0.2">
      <c r="A9" s="118" t="s">
        <v>63</v>
      </c>
      <c r="G9" s="128">
        <v>24093.550000000003</v>
      </c>
      <c r="H9" s="129">
        <f>'CAC Inc Stmt'!L88</f>
        <v>1948.7099999999994</v>
      </c>
      <c r="I9" s="129">
        <f>+'CAC Inc Stmt'!M88</f>
        <v>14620.339999999998</v>
      </c>
      <c r="J9" s="129">
        <f>+'CAC Inc Stmt'!N88</f>
        <v>30695.490000000005</v>
      </c>
      <c r="K9" s="129">
        <f>+'CAC Inc Stmt'!O88</f>
        <v>17814.739999999994</v>
      </c>
      <c r="L9" s="128">
        <f>SUM(H9:K9)</f>
        <v>65079.28</v>
      </c>
      <c r="M9" s="128">
        <f>'CAC Inc Stmt'!Q88</f>
        <v>22912</v>
      </c>
      <c r="N9" s="129">
        <f>L9-M9</f>
        <v>42167.28</v>
      </c>
      <c r="O9" s="130">
        <f>L9-G9</f>
        <v>40985.729999999996</v>
      </c>
    </row>
    <row r="10" spans="1:15" x14ac:dyDescent="0.2">
      <c r="G10" s="131"/>
      <c r="H10" s="132"/>
      <c r="I10" s="132"/>
      <c r="J10" s="132"/>
      <c r="K10" s="132"/>
      <c r="L10" s="131"/>
      <c r="M10" s="131"/>
      <c r="N10" s="132"/>
      <c r="O10" s="133"/>
    </row>
    <row r="11" spans="1:15" x14ac:dyDescent="0.2">
      <c r="A11" s="118" t="s">
        <v>64</v>
      </c>
      <c r="G11" s="128">
        <v>0</v>
      </c>
      <c r="H11" s="129"/>
      <c r="I11" s="129"/>
      <c r="J11" s="129"/>
      <c r="K11" s="129"/>
      <c r="L11" s="128">
        <f>SUM(H11:K11)</f>
        <v>0</v>
      </c>
      <c r="M11" s="128">
        <v>0</v>
      </c>
      <c r="N11" s="129">
        <f>L11-M11</f>
        <v>0</v>
      </c>
      <c r="O11" s="130">
        <f>L11-G11</f>
        <v>0</v>
      </c>
    </row>
    <row r="12" spans="1:15" x14ac:dyDescent="0.2">
      <c r="G12" s="131"/>
      <c r="H12" s="132"/>
      <c r="I12" s="132"/>
      <c r="J12" s="132"/>
      <c r="K12" s="132"/>
      <c r="L12" s="131"/>
      <c r="M12" s="131"/>
      <c r="N12" s="132"/>
      <c r="O12" s="133"/>
    </row>
    <row r="13" spans="1:15" x14ac:dyDescent="0.2">
      <c r="A13" s="118" t="s">
        <v>61</v>
      </c>
      <c r="G13" s="128">
        <v>290</v>
      </c>
      <c r="H13" s="129">
        <f>IF(E4=1,'CAC Bal Sheet'!H55-'CAC Bal Sheet'!G55,'CAC Bal Sheet'!H55-'CAC Bal Sheet'!G55)</f>
        <v>505</v>
      </c>
      <c r="I13" s="129">
        <f>IF($E$4=2,'CAC Bal Sheet'!I55-'CAC Bal Sheet'!H55,IF(E4=3,'CAC Bal Sheet'!I55-'CAC Bal Sheet'!H55,IF(E4=4,'CAC Bal Sheet'!I55-'CAC Bal Sheet'!H55,0)))</f>
        <v>-2570.17</v>
      </c>
      <c r="J13" s="129">
        <f>IF($E$4=3,'CAC Bal Sheet'!J55-'CAC Bal Sheet'!I55,IF(E4=4,'CAC Bal Sheet'!J55-'CAC Bal Sheet'!I55,0))</f>
        <v>0</v>
      </c>
      <c r="K13" s="129">
        <f>IF($E$4=4,'CAC Bal Sheet'!K55-'CAC Bal Sheet'!J55,0)</f>
        <v>2045</v>
      </c>
      <c r="L13" s="128">
        <f>SUM(H13:K13)</f>
        <v>-20.170000000000073</v>
      </c>
      <c r="M13" s="128">
        <v>999</v>
      </c>
      <c r="N13" s="129">
        <f>L13-M13</f>
        <v>-1019.1700000000001</v>
      </c>
      <c r="O13" s="130">
        <f>L13-G13</f>
        <v>-310.17000000000007</v>
      </c>
    </row>
    <row r="14" spans="1:15" x14ac:dyDescent="0.2">
      <c r="G14" s="131"/>
      <c r="H14" s="126"/>
      <c r="I14" s="126"/>
      <c r="J14" s="126"/>
      <c r="K14" s="132"/>
      <c r="L14" s="131"/>
      <c r="M14" s="131"/>
      <c r="N14" s="132"/>
      <c r="O14" s="133"/>
    </row>
    <row r="15" spans="1:15" x14ac:dyDescent="0.2">
      <c r="G15" s="131"/>
      <c r="H15" s="132"/>
      <c r="I15" s="132"/>
      <c r="J15" s="132"/>
      <c r="K15" s="132"/>
      <c r="L15" s="131"/>
      <c r="M15" s="131"/>
      <c r="N15" s="132"/>
      <c r="O15" s="133"/>
    </row>
    <row r="16" spans="1:15" x14ac:dyDescent="0.2">
      <c r="A16" s="118" t="s">
        <v>62</v>
      </c>
      <c r="G16" s="128">
        <v>0</v>
      </c>
      <c r="H16" s="129">
        <f>IF(E7=1,'CAC Bal Sheet'!H43-'CAC Bal Sheet'!G43,'CAC Bal Sheet'!H43-'AL Bal Sheet'!G43)</f>
        <v>0</v>
      </c>
      <c r="I16" s="129">
        <f>IF($E$4=2,'CAC Bal Sheet'!I43-'CAC Bal Sheet'!H43,IF(E7=3,'CAC Bal Sheet'!I43-'CAC Bal Sheet'!H43,IF(E7=4,'CAC Bal Sheet'!I43-'CAC Bal Sheet'!H43,0)))</f>
        <v>0</v>
      </c>
      <c r="J16" s="129">
        <f>IF($E$4=3,'CAC Bal Sheet'!J43-'CAC Bal Sheet'!I43,IF(E7=4,'CAC Bal Sheet'!J43-'CAC Bal Sheet'!I43,0))</f>
        <v>0</v>
      </c>
      <c r="K16" s="129">
        <f>IF($E$4=4,'CAC Bal Sheet'!K43-'CAC Bal Sheet'!J43,0)</f>
        <v>0</v>
      </c>
      <c r="L16" s="128">
        <f>SUM(H16:K16)</f>
        <v>0</v>
      </c>
      <c r="M16" s="128">
        <v>0</v>
      </c>
      <c r="N16" s="129">
        <f>L16-M16</f>
        <v>0</v>
      </c>
      <c r="O16" s="130">
        <f>L16-G16</f>
        <v>0</v>
      </c>
    </row>
    <row r="17" spans="1:16" x14ac:dyDescent="0.2">
      <c r="G17" s="131"/>
      <c r="H17" s="132"/>
      <c r="I17" s="132"/>
      <c r="J17" s="132"/>
      <c r="K17" s="132"/>
      <c r="L17" s="131"/>
      <c r="M17" s="131"/>
      <c r="N17" s="132"/>
      <c r="O17" s="133"/>
    </row>
    <row r="18" spans="1:16" x14ac:dyDescent="0.2">
      <c r="A18" s="118" t="s">
        <v>65</v>
      </c>
      <c r="G18" s="131"/>
      <c r="H18" s="132"/>
      <c r="I18" s="132"/>
      <c r="J18" s="132"/>
      <c r="K18" s="132"/>
      <c r="L18" s="131"/>
      <c r="M18" s="131"/>
      <c r="N18" s="132"/>
      <c r="O18" s="133"/>
    </row>
    <row r="19" spans="1:16" x14ac:dyDescent="0.2">
      <c r="B19" s="116" t="s">
        <v>26</v>
      </c>
      <c r="G19" s="131">
        <v>-18407</v>
      </c>
      <c r="H19" s="132">
        <f>+'CAC Inc Stmt'!L99+'CAC Inc Stmt'!L101+'CAC Inc Stmt'!L102</f>
        <v>-6000</v>
      </c>
      <c r="I19" s="132">
        <f>+'CAC Inc Stmt'!M99+'CAC Inc Stmt'!M101+'CAC Inc Stmt'!M102</f>
        <v>-8102</v>
      </c>
      <c r="J19" s="132">
        <f>+'CAC Inc Stmt'!N99+'CAC Inc Stmt'!N101+'CAC Inc Stmt'!N102</f>
        <v>0</v>
      </c>
      <c r="K19" s="132">
        <f>+'CAC Inc Stmt'!O99+'CAC Inc Stmt'!O101+'CAC Inc Stmt'!O102</f>
        <v>0</v>
      </c>
      <c r="L19" s="131">
        <f>SUM(H19:K19)</f>
        <v>-14102</v>
      </c>
      <c r="M19" s="131">
        <f>'CAC Inc Stmt'!Q99+'CAC Inc Stmt'!Q101</f>
        <v>-18000</v>
      </c>
      <c r="N19" s="132">
        <f>L19-M19</f>
        <v>3898</v>
      </c>
      <c r="O19" s="133">
        <f>L19-G19</f>
        <v>4305</v>
      </c>
    </row>
    <row r="20" spans="1:16" x14ac:dyDescent="0.2">
      <c r="B20" s="116" t="s">
        <v>56</v>
      </c>
      <c r="G20" s="131">
        <v>-9305</v>
      </c>
      <c r="H20" s="132">
        <f>'CAC Inc Stmt'!L100+'CAC Inc Stmt'!L103</f>
        <v>0</v>
      </c>
      <c r="I20" s="132">
        <f>'CAC Inc Stmt'!M100+'CAC Inc Stmt'!M103</f>
        <v>0</v>
      </c>
      <c r="J20" s="132">
        <f>'CAC Inc Stmt'!N100+'CAC Inc Stmt'!N103</f>
        <v>-6076</v>
      </c>
      <c r="K20" s="132">
        <f>'CAC Inc Stmt'!O100+'CAC Inc Stmt'!O103</f>
        <v>-12500</v>
      </c>
      <c r="L20" s="131">
        <f>SUM(H20:K20)</f>
        <v>-18576</v>
      </c>
      <c r="M20" s="131">
        <f>'CAC Inc Stmt'!Q100</f>
        <v>-9200</v>
      </c>
      <c r="N20" s="132">
        <f>L20-M20</f>
        <v>-9376</v>
      </c>
      <c r="O20" s="133">
        <f>L20-G20</f>
        <v>-9271</v>
      </c>
    </row>
    <row r="21" spans="1:16" x14ac:dyDescent="0.2">
      <c r="B21" s="116" t="s">
        <v>57</v>
      </c>
      <c r="G21" s="131">
        <v>0</v>
      </c>
      <c r="H21" s="132"/>
      <c r="I21" s="132"/>
      <c r="J21" s="132"/>
      <c r="K21" s="132"/>
      <c r="L21" s="131">
        <f>SUM(H21:K21)</f>
        <v>0</v>
      </c>
      <c r="M21" s="131"/>
      <c r="N21" s="132">
        <f>L21-M21</f>
        <v>0</v>
      </c>
      <c r="O21" s="133">
        <f>L21-G21</f>
        <v>0</v>
      </c>
    </row>
    <row r="22" spans="1:16" x14ac:dyDescent="0.2">
      <c r="G22" s="131"/>
      <c r="H22" s="132"/>
      <c r="I22" s="132"/>
      <c r="J22" s="132"/>
      <c r="K22" s="132"/>
      <c r="L22" s="131"/>
      <c r="M22" s="131"/>
      <c r="N22" s="132"/>
      <c r="O22" s="133"/>
    </row>
    <row r="23" spans="1:16" x14ac:dyDescent="0.2">
      <c r="B23" s="118" t="s">
        <v>58</v>
      </c>
      <c r="G23" s="128">
        <v>-27712</v>
      </c>
      <c r="H23" s="129">
        <f t="shared" ref="H23:M23" si="0">SUM(H19:H21)</f>
        <v>-6000</v>
      </c>
      <c r="I23" s="129">
        <f t="shared" si="0"/>
        <v>-8102</v>
      </c>
      <c r="J23" s="129">
        <f t="shared" si="0"/>
        <v>-6076</v>
      </c>
      <c r="K23" s="129">
        <f t="shared" si="0"/>
        <v>-12500</v>
      </c>
      <c r="L23" s="128">
        <f t="shared" si="0"/>
        <v>-32678</v>
      </c>
      <c r="M23" s="128">
        <f t="shared" si="0"/>
        <v>-27200</v>
      </c>
      <c r="N23" s="129">
        <f>L23-M23</f>
        <v>-5478</v>
      </c>
      <c r="O23" s="130">
        <f>L23-G23</f>
        <v>-4966</v>
      </c>
    </row>
    <row r="24" spans="1:16" x14ac:dyDescent="0.2">
      <c r="G24" s="134"/>
      <c r="H24" s="126"/>
      <c r="I24" s="126"/>
      <c r="J24" s="126"/>
      <c r="K24" s="126"/>
      <c r="L24" s="134"/>
      <c r="M24" s="134"/>
      <c r="N24" s="126"/>
      <c r="O24" s="127"/>
    </row>
    <row r="25" spans="1:16" ht="13.2" thickBot="1" x14ac:dyDescent="0.25">
      <c r="A25" s="118" t="s">
        <v>60</v>
      </c>
      <c r="G25" s="135">
        <v>105059</v>
      </c>
      <c r="H25" s="136">
        <f t="shared" ref="H25:M25" si="1">+H7+H9+H11+H13+H16+H23</f>
        <v>101512.71</v>
      </c>
      <c r="I25" s="136">
        <f t="shared" si="1"/>
        <v>105460.88</v>
      </c>
      <c r="J25" s="136">
        <f t="shared" si="1"/>
        <v>130080.37</v>
      </c>
      <c r="K25" s="136">
        <f t="shared" si="1"/>
        <v>137440.10999999999</v>
      </c>
      <c r="L25" s="135">
        <f t="shared" si="1"/>
        <v>137440.10999999999</v>
      </c>
      <c r="M25" s="135">
        <f t="shared" si="1"/>
        <v>101770</v>
      </c>
      <c r="N25" s="136">
        <f>L25-M25</f>
        <v>35670.109999999986</v>
      </c>
      <c r="O25" s="137">
        <f>L25-G25</f>
        <v>32381.109999999986</v>
      </c>
    </row>
    <row r="26" spans="1:16" ht="13.2" thickTop="1" x14ac:dyDescent="0.2">
      <c r="G26" s="132"/>
      <c r="H26" s="132"/>
      <c r="I26" s="132"/>
      <c r="J26" s="132"/>
      <c r="K26" s="132"/>
      <c r="L26" s="132"/>
      <c r="M26" s="132"/>
      <c r="N26" s="132"/>
      <c r="O26" s="132"/>
    </row>
    <row r="27" spans="1:16" x14ac:dyDescent="0.2">
      <c r="G27" s="132"/>
      <c r="H27" s="132"/>
      <c r="I27" s="132"/>
      <c r="J27" s="132"/>
      <c r="K27" s="132"/>
      <c r="L27" s="132"/>
      <c r="M27" s="132"/>
      <c r="N27" s="132"/>
      <c r="O27" s="132"/>
    </row>
    <row r="28" spans="1:16" x14ac:dyDescent="0.2">
      <c r="A28" s="116" t="s">
        <v>69</v>
      </c>
      <c r="G28" s="126"/>
      <c r="H28" s="126"/>
      <c r="I28" s="126"/>
      <c r="J28" s="126"/>
      <c r="K28" s="126"/>
      <c r="L28" s="126"/>
      <c r="M28" s="126"/>
      <c r="N28" s="126"/>
      <c r="O28" s="126"/>
    </row>
    <row r="29" spans="1:16" x14ac:dyDescent="0.2">
      <c r="B29" s="116" t="s">
        <v>70</v>
      </c>
      <c r="G29" s="132">
        <v>105058.83</v>
      </c>
      <c r="H29" s="132">
        <f>+'CAC Bal Sheet'!H15</f>
        <v>101512.54</v>
      </c>
      <c r="I29" s="132">
        <f>+'CAC Bal Sheet'!I15</f>
        <v>105460.88</v>
      </c>
      <c r="J29" s="132">
        <f>+'CAC Bal Sheet'!J15</f>
        <v>130080.37</v>
      </c>
      <c r="K29" s="132">
        <f>+'CAC Bal Sheet'!K15</f>
        <v>137440.10999999999</v>
      </c>
      <c r="L29" s="132">
        <f>+K29</f>
        <v>137440.10999999999</v>
      </c>
      <c r="M29" s="132">
        <f>+'CAC Bal Sheet'!L15</f>
        <v>101670</v>
      </c>
      <c r="N29" s="132"/>
      <c r="O29" s="132"/>
    </row>
    <row r="30" spans="1:16" ht="13.2" thickBot="1" x14ac:dyDescent="0.25">
      <c r="B30" s="116" t="s">
        <v>71</v>
      </c>
      <c r="G30" s="138">
        <v>0</v>
      </c>
      <c r="H30" s="138">
        <f t="shared" ref="H30:M30" si="2">+H25-H29</f>
        <v>0.17000000001280569</v>
      </c>
      <c r="I30" s="138">
        <f t="shared" si="2"/>
        <v>0</v>
      </c>
      <c r="J30" s="138">
        <f t="shared" si="2"/>
        <v>0</v>
      </c>
      <c r="K30" s="138">
        <f t="shared" si="2"/>
        <v>0</v>
      </c>
      <c r="L30" s="138">
        <f t="shared" si="2"/>
        <v>0</v>
      </c>
      <c r="M30" s="138">
        <f t="shared" si="2"/>
        <v>100</v>
      </c>
      <c r="N30" s="126"/>
      <c r="O30" s="126"/>
      <c r="P30" s="126"/>
    </row>
    <row r="31" spans="1:16" ht="13.2" thickTop="1" x14ac:dyDescent="0.2">
      <c r="M31" s="248"/>
    </row>
    <row r="33" spans="1:1" x14ac:dyDescent="0.2">
      <c r="A33" s="116" t="s">
        <v>33</v>
      </c>
    </row>
  </sheetData>
  <sheetProtection algorithmName="SHA-512" hashValue="+zCL6k+zMD6zzF1pijsfmWublHD2dLbI0/LU5GJ0zWw1XEcaQlBCeSbizWdjg6CKb0cVpMsVeTFX3/XfY3haAA==" saltValue="5G1z9p3kTSwrW78m5kiVMQ==" spinCount="100000" sheet="1" objects="1" scenarios="1"/>
  <phoneticPr fontId="4" type="noConversion"/>
  <pageMargins left="0.75" right="0.75" top="1" bottom="1" header="0.5" footer="0.5"/>
  <pageSetup scale="73" orientation="landscape" horizontalDpi="4294967292" verticalDpi="4294967292"/>
  <headerFooter alignWithMargins="0">
    <oddFooter>&amp;L&amp;F&amp;C&amp;D&amp;R&amp;A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3"/>
    <pageSetUpPr fitToPage="1"/>
  </sheetPr>
  <dimension ref="A1:U175"/>
  <sheetViews>
    <sheetView zoomScale="110" zoomScaleNormal="110" workbookViewId="0">
      <pane xSplit="5" ySplit="6" topLeftCell="F7" activePane="bottomRight" state="frozen"/>
      <selection activeCell="E19" sqref="E19"/>
      <selection pane="topRight" activeCell="E19" sqref="E19"/>
      <selection pane="bottomLeft" activeCell="E19" sqref="E19"/>
      <selection pane="bottomRight" activeCell="F7" sqref="F7"/>
    </sheetView>
  </sheetViews>
  <sheetFormatPr defaultColWidth="11.08984375" defaultRowHeight="12.6" outlineLevelRow="1" outlineLevelCol="1" x14ac:dyDescent="0.2"/>
  <cols>
    <col min="1" max="1" width="4.08984375" style="116" customWidth="1"/>
    <col min="2" max="2" width="4.7265625" style="116" customWidth="1"/>
    <col min="3" max="3" width="9.6328125" style="116" customWidth="1"/>
    <col min="4" max="4" width="4.08984375" style="116" customWidth="1"/>
    <col min="5" max="5" width="9.26953125" style="116" customWidth="1"/>
    <col min="6" max="6" width="7.7265625" style="116" customWidth="1"/>
    <col min="7" max="7" width="11.90625" style="116" customWidth="1"/>
    <col min="8" max="9" width="11.90625" hidden="1" customWidth="1" outlineLevel="1"/>
    <col min="10" max="10" width="12.6328125" hidden="1" customWidth="1" outlineLevel="1"/>
    <col min="11" max="11" width="11.90625" hidden="1" customWidth="1" outlineLevel="1"/>
    <col min="12" max="12" width="11.08984375" style="116" customWidth="1" collapsed="1"/>
    <col min="13" max="13" width="11.08984375" style="116"/>
    <col min="14" max="14" width="12.36328125" style="116" customWidth="1"/>
    <col min="15" max="15" width="11.08984375" style="116"/>
    <col min="16" max="16" width="12.7265625" style="116" customWidth="1"/>
    <col min="17" max="17" width="12" style="116" customWidth="1"/>
    <col min="18" max="18" width="11.08984375" style="116"/>
    <col min="19" max="19" width="10.08984375" style="116" customWidth="1"/>
    <col min="20" max="16384" width="11.08984375" style="116"/>
  </cols>
  <sheetData>
    <row r="1" spans="1:21" ht="16.2" x14ac:dyDescent="0.3">
      <c r="A1" s="115" t="s">
        <v>259</v>
      </c>
    </row>
    <row r="2" spans="1:21" x14ac:dyDescent="0.2">
      <c r="A2" s="117" t="s">
        <v>260</v>
      </c>
    </row>
    <row r="3" spans="1:21" ht="15" thickBot="1" x14ac:dyDescent="0.35">
      <c r="A3" s="118" t="s">
        <v>261</v>
      </c>
      <c r="E3" s="139"/>
    </row>
    <row r="4" spans="1:21" ht="13.2" thickBot="1" x14ac:dyDescent="0.25">
      <c r="A4" s="118" t="s">
        <v>262</v>
      </c>
      <c r="D4" s="119">
        <v>4</v>
      </c>
    </row>
    <row r="5" spans="1:21" customFormat="1" x14ac:dyDescent="0.2">
      <c r="A5" s="1"/>
      <c r="F5" s="10" t="s">
        <v>212</v>
      </c>
      <c r="G5" s="28" t="s">
        <v>263</v>
      </c>
      <c r="H5" s="8" t="s">
        <v>443</v>
      </c>
      <c r="I5" s="6" t="s">
        <v>448</v>
      </c>
      <c r="J5" s="6" t="s">
        <v>128</v>
      </c>
      <c r="K5" s="6" t="s">
        <v>443</v>
      </c>
      <c r="L5" s="4" t="s">
        <v>134</v>
      </c>
      <c r="M5" s="5" t="s">
        <v>134</v>
      </c>
      <c r="N5" s="5" t="s">
        <v>134</v>
      </c>
      <c r="O5" s="5" t="s">
        <v>134</v>
      </c>
      <c r="P5" s="26" t="s">
        <v>29</v>
      </c>
      <c r="Q5" s="238" t="s">
        <v>440</v>
      </c>
      <c r="R5" s="24" t="s">
        <v>135</v>
      </c>
      <c r="S5" s="140" t="s">
        <v>135</v>
      </c>
      <c r="T5" s="141" t="s">
        <v>136</v>
      </c>
      <c r="U5" s="142" t="s">
        <v>265</v>
      </c>
    </row>
    <row r="6" spans="1:21" customFormat="1" x14ac:dyDescent="0.2">
      <c r="F6" s="11" t="s">
        <v>213</v>
      </c>
      <c r="G6" s="29" t="s">
        <v>426</v>
      </c>
      <c r="H6" s="69">
        <v>41089</v>
      </c>
      <c r="I6" s="70">
        <v>41181</v>
      </c>
      <c r="J6" s="70">
        <v>41273</v>
      </c>
      <c r="K6" s="70">
        <v>41363</v>
      </c>
      <c r="L6" s="69">
        <v>41089</v>
      </c>
      <c r="M6" s="70">
        <v>41181</v>
      </c>
      <c r="N6" s="70">
        <v>41273</v>
      </c>
      <c r="O6" s="70">
        <v>41363</v>
      </c>
      <c r="P6" s="75" t="s">
        <v>438</v>
      </c>
      <c r="Q6" s="240" t="s">
        <v>438</v>
      </c>
      <c r="R6" s="25" t="s">
        <v>16</v>
      </c>
      <c r="S6" s="143" t="s">
        <v>17</v>
      </c>
      <c r="T6" s="144" t="s">
        <v>18</v>
      </c>
      <c r="U6" s="145" t="s">
        <v>108</v>
      </c>
    </row>
    <row r="7" spans="1:21" x14ac:dyDescent="0.2">
      <c r="A7" s="118" t="s">
        <v>379</v>
      </c>
      <c r="B7" s="118"/>
      <c r="F7" s="250"/>
      <c r="G7" s="147"/>
      <c r="H7" s="83"/>
      <c r="I7" s="83"/>
      <c r="J7" s="83"/>
      <c r="K7" s="15"/>
      <c r="L7" s="149"/>
      <c r="M7" s="148"/>
      <c r="N7" s="148"/>
      <c r="O7" s="148"/>
      <c r="P7" s="150"/>
      <c r="Q7" s="151"/>
      <c r="R7" s="152"/>
      <c r="S7" s="153"/>
      <c r="T7" s="154"/>
      <c r="U7" s="155"/>
    </row>
    <row r="8" spans="1:21" x14ac:dyDescent="0.2">
      <c r="A8" s="118"/>
      <c r="B8" s="118" t="s">
        <v>380</v>
      </c>
      <c r="F8" s="156"/>
      <c r="G8" s="157">
        <f>SUM(G9:G18)</f>
        <v>41567.78</v>
      </c>
      <c r="H8" s="84">
        <f>SUM(H9:H18)</f>
        <v>10462</v>
      </c>
      <c r="I8" s="84">
        <f>SUM(I9:I18)</f>
        <v>27083</v>
      </c>
      <c r="J8" s="84">
        <f>SUM(J9:J18)</f>
        <v>34145</v>
      </c>
      <c r="K8" s="290">
        <f>SUM(K9:K18)</f>
        <v>40441</v>
      </c>
      <c r="L8" s="159">
        <f t="shared" ref="L8:R8" si="0">SUM(L9:L18)</f>
        <v>10462</v>
      </c>
      <c r="M8" s="158">
        <f t="shared" si="0"/>
        <v>16621</v>
      </c>
      <c r="N8" s="158">
        <f t="shared" si="0"/>
        <v>7062</v>
      </c>
      <c r="O8" s="158">
        <f t="shared" si="0"/>
        <v>6296</v>
      </c>
      <c r="P8" s="160">
        <f t="shared" si="0"/>
        <v>40441</v>
      </c>
      <c r="Q8" s="161">
        <f>SUM(Q9:Q18)</f>
        <v>41567</v>
      </c>
      <c r="R8" s="162">
        <f t="shared" si="0"/>
        <v>-1126</v>
      </c>
      <c r="S8" s="163">
        <f t="shared" ref="S8:S16" si="1">IF(Q8=0,"",P8/Q8)</f>
        <v>0.97291120359900884</v>
      </c>
      <c r="T8" s="164">
        <f>SUM(T9:T18)</f>
        <v>-1126.7799999999997</v>
      </c>
      <c r="U8" s="165">
        <f t="shared" ref="U8:U17" si="2">IF(G8=0,"",P8/G8)</f>
        <v>0.97289294737414411</v>
      </c>
    </row>
    <row r="9" spans="1:21" outlineLevel="1" x14ac:dyDescent="0.2">
      <c r="C9" s="116" t="s">
        <v>381</v>
      </c>
      <c r="F9" s="156"/>
      <c r="G9" s="166">
        <v>3709</v>
      </c>
      <c r="H9" s="83">
        <v>0</v>
      </c>
      <c r="I9" s="83">
        <v>230</v>
      </c>
      <c r="J9" s="83">
        <v>230</v>
      </c>
      <c r="K9" s="15">
        <v>1850</v>
      </c>
      <c r="L9" s="167">
        <f t="shared" ref="L9:L17" si="3">+H9</f>
        <v>0</v>
      </c>
      <c r="M9" s="148">
        <f t="shared" ref="M9:O17" si="4">IF(I9=0,0,I9-H9)</f>
        <v>230</v>
      </c>
      <c r="N9" s="148">
        <f t="shared" si="4"/>
        <v>0</v>
      </c>
      <c r="O9" s="148">
        <f t="shared" si="4"/>
        <v>1620</v>
      </c>
      <c r="P9" s="150">
        <f t="shared" ref="P9:P17" si="5">SUM(L9:O9)</f>
        <v>1850</v>
      </c>
      <c r="Q9" s="151">
        <v>3709</v>
      </c>
      <c r="R9" s="152">
        <f t="shared" ref="R9:R17" si="6">P9-Q9</f>
        <v>-1859</v>
      </c>
      <c r="S9" s="168">
        <f t="shared" si="1"/>
        <v>0.49878673496899434</v>
      </c>
      <c r="T9" s="154">
        <f t="shared" ref="T9:T17" si="7">P9-G9</f>
        <v>-1859</v>
      </c>
      <c r="U9" s="169">
        <f t="shared" si="2"/>
        <v>0.49878673496899434</v>
      </c>
    </row>
    <row r="10" spans="1:21" outlineLevel="1" x14ac:dyDescent="0.2">
      <c r="C10" s="116" t="s">
        <v>382</v>
      </c>
      <c r="F10" s="156" t="s">
        <v>383</v>
      </c>
      <c r="G10" s="166">
        <v>1455</v>
      </c>
      <c r="H10" s="83">
        <v>160</v>
      </c>
      <c r="I10" s="83">
        <v>525</v>
      </c>
      <c r="J10" s="83">
        <v>538</v>
      </c>
      <c r="K10" s="15">
        <v>648</v>
      </c>
      <c r="L10" s="167">
        <f t="shared" si="3"/>
        <v>160</v>
      </c>
      <c r="M10" s="148">
        <f t="shared" si="4"/>
        <v>365</v>
      </c>
      <c r="N10" s="148">
        <f t="shared" si="4"/>
        <v>13</v>
      </c>
      <c r="O10" s="148">
        <f t="shared" si="4"/>
        <v>110</v>
      </c>
      <c r="P10" s="150">
        <f t="shared" si="5"/>
        <v>648</v>
      </c>
      <c r="Q10" s="151">
        <v>1455</v>
      </c>
      <c r="R10" s="152">
        <f t="shared" si="6"/>
        <v>-807</v>
      </c>
      <c r="S10" s="168">
        <f t="shared" si="1"/>
        <v>0.44536082474226807</v>
      </c>
      <c r="T10" s="154">
        <f t="shared" si="7"/>
        <v>-807</v>
      </c>
      <c r="U10" s="169">
        <f t="shared" si="2"/>
        <v>0.44536082474226807</v>
      </c>
    </row>
    <row r="11" spans="1:21" outlineLevel="1" x14ac:dyDescent="0.2">
      <c r="C11" s="116" t="s">
        <v>413</v>
      </c>
      <c r="F11" s="156"/>
      <c r="G11" s="166"/>
      <c r="H11" s="83"/>
      <c r="I11" s="83"/>
      <c r="J11" s="83"/>
      <c r="K11" s="15"/>
      <c r="L11" s="167">
        <f t="shared" si="3"/>
        <v>0</v>
      </c>
      <c r="M11" s="148">
        <f t="shared" si="4"/>
        <v>0</v>
      </c>
      <c r="N11" s="148">
        <f t="shared" si="4"/>
        <v>0</v>
      </c>
      <c r="O11" s="148">
        <f t="shared" si="4"/>
        <v>0</v>
      </c>
      <c r="P11" s="150">
        <f t="shared" si="5"/>
        <v>0</v>
      </c>
      <c r="Q11" s="151">
        <v>0</v>
      </c>
      <c r="R11" s="152">
        <f t="shared" si="6"/>
        <v>0</v>
      </c>
      <c r="S11" s="168" t="str">
        <f t="shared" si="1"/>
        <v/>
      </c>
      <c r="T11" s="154">
        <f t="shared" si="7"/>
        <v>0</v>
      </c>
      <c r="U11" s="169" t="str">
        <f t="shared" si="2"/>
        <v/>
      </c>
    </row>
    <row r="12" spans="1:21" outlineLevel="1" x14ac:dyDescent="0.2">
      <c r="C12" s="116" t="s">
        <v>385</v>
      </c>
      <c r="F12" s="156"/>
      <c r="G12" s="166">
        <v>8972</v>
      </c>
      <c r="H12" s="83">
        <v>810</v>
      </c>
      <c r="I12" s="83">
        <v>3363</v>
      </c>
      <c r="J12" s="83">
        <v>3770</v>
      </c>
      <c r="K12" s="15">
        <v>3928</v>
      </c>
      <c r="L12" s="167">
        <f t="shared" si="3"/>
        <v>810</v>
      </c>
      <c r="M12" s="148">
        <f t="shared" si="4"/>
        <v>2553</v>
      </c>
      <c r="N12" s="148">
        <f t="shared" si="4"/>
        <v>407</v>
      </c>
      <c r="O12" s="148">
        <f t="shared" si="4"/>
        <v>158</v>
      </c>
      <c r="P12" s="150">
        <f t="shared" si="5"/>
        <v>3928</v>
      </c>
      <c r="Q12" s="151">
        <v>8972</v>
      </c>
      <c r="R12" s="152">
        <f t="shared" si="6"/>
        <v>-5044</v>
      </c>
      <c r="S12" s="168">
        <f t="shared" si="1"/>
        <v>0.43780650913954527</v>
      </c>
      <c r="T12" s="154">
        <f t="shared" si="7"/>
        <v>-5044</v>
      </c>
      <c r="U12" s="169">
        <f t="shared" si="2"/>
        <v>0.43780650913954527</v>
      </c>
    </row>
    <row r="13" spans="1:21" outlineLevel="1" x14ac:dyDescent="0.2">
      <c r="C13" s="116" t="s">
        <v>386</v>
      </c>
      <c r="F13" s="156"/>
      <c r="G13" s="166">
        <f>1722+11138</f>
        <v>12860</v>
      </c>
      <c r="H13" s="83">
        <v>4563</v>
      </c>
      <c r="I13" s="83">
        <f>6197+4071</f>
        <v>10268</v>
      </c>
      <c r="J13" s="83">
        <f>8284+4635</f>
        <v>12919</v>
      </c>
      <c r="K13" s="15">
        <f>10334+4859</f>
        <v>15193</v>
      </c>
      <c r="L13" s="167">
        <f t="shared" si="3"/>
        <v>4563</v>
      </c>
      <c r="M13" s="148">
        <f t="shared" si="4"/>
        <v>5705</v>
      </c>
      <c r="N13" s="148">
        <f t="shared" si="4"/>
        <v>2651</v>
      </c>
      <c r="O13" s="148">
        <f t="shared" si="4"/>
        <v>2274</v>
      </c>
      <c r="P13" s="150">
        <f t="shared" si="5"/>
        <v>15193</v>
      </c>
      <c r="Q13" s="151">
        <f>1722+11138</f>
        <v>12860</v>
      </c>
      <c r="R13" s="152">
        <f t="shared" si="6"/>
        <v>2333</v>
      </c>
      <c r="S13" s="168">
        <f t="shared" si="1"/>
        <v>1.1814152410575427</v>
      </c>
      <c r="T13" s="154">
        <f t="shared" si="7"/>
        <v>2333</v>
      </c>
      <c r="U13" s="169">
        <f t="shared" si="2"/>
        <v>1.1814152410575427</v>
      </c>
    </row>
    <row r="14" spans="1:21" outlineLevel="1" x14ac:dyDescent="0.2">
      <c r="C14" s="116" t="s">
        <v>387</v>
      </c>
      <c r="F14" s="156">
        <v>5490</v>
      </c>
      <c r="G14" s="166">
        <f>183.78+30+683</f>
        <v>896.78</v>
      </c>
      <c r="H14" s="83">
        <v>391</v>
      </c>
      <c r="I14" s="83">
        <f>340+259</f>
        <v>599</v>
      </c>
      <c r="J14" s="83">
        <f>589+365</f>
        <v>954</v>
      </c>
      <c r="K14" s="15">
        <f>592+365</f>
        <v>957</v>
      </c>
      <c r="L14" s="167">
        <f t="shared" si="3"/>
        <v>391</v>
      </c>
      <c r="M14" s="148">
        <f t="shared" si="4"/>
        <v>208</v>
      </c>
      <c r="N14" s="148">
        <f t="shared" si="4"/>
        <v>355</v>
      </c>
      <c r="O14" s="148">
        <f t="shared" si="4"/>
        <v>3</v>
      </c>
      <c r="P14" s="150">
        <f t="shared" si="5"/>
        <v>957</v>
      </c>
      <c r="Q14" s="151">
        <f>184+712</f>
        <v>896</v>
      </c>
      <c r="R14" s="152">
        <f t="shared" si="6"/>
        <v>61</v>
      </c>
      <c r="S14" s="168">
        <f t="shared" si="1"/>
        <v>1.0680803571428572</v>
      </c>
      <c r="T14" s="154">
        <f t="shared" si="7"/>
        <v>60.220000000000027</v>
      </c>
      <c r="U14" s="169">
        <f t="shared" si="2"/>
        <v>1.0671513637681482</v>
      </c>
    </row>
    <row r="15" spans="1:21" outlineLevel="1" x14ac:dyDescent="0.2">
      <c r="C15" s="242" t="s">
        <v>415</v>
      </c>
      <c r="F15" s="156"/>
      <c r="G15" s="166">
        <v>13675</v>
      </c>
      <c r="H15" s="83">
        <v>4538</v>
      </c>
      <c r="I15" s="83">
        <f>8387+3710+1</f>
        <v>12098</v>
      </c>
      <c r="J15" s="83">
        <f>11087+4647</f>
        <v>15734</v>
      </c>
      <c r="K15" s="15">
        <f>5287+12578</f>
        <v>17865</v>
      </c>
      <c r="L15" s="167">
        <f>+H15</f>
        <v>4538</v>
      </c>
      <c r="M15" s="148">
        <f>IF(I15=0,0,I15-H15)</f>
        <v>7560</v>
      </c>
      <c r="N15" s="148">
        <f t="shared" si="4"/>
        <v>3636</v>
      </c>
      <c r="O15" s="148">
        <f t="shared" si="4"/>
        <v>2131</v>
      </c>
      <c r="P15" s="150">
        <f t="shared" si="5"/>
        <v>17865</v>
      </c>
      <c r="Q15" s="151">
        <v>13675</v>
      </c>
      <c r="R15" s="152">
        <f t="shared" si="6"/>
        <v>4190</v>
      </c>
      <c r="S15" s="168">
        <f t="shared" si="1"/>
        <v>1.3063985374771481</v>
      </c>
      <c r="T15" s="154">
        <f t="shared" si="7"/>
        <v>4190</v>
      </c>
      <c r="U15" s="169">
        <f t="shared" si="2"/>
        <v>1.3063985374771481</v>
      </c>
    </row>
    <row r="16" spans="1:21" outlineLevel="1" x14ac:dyDescent="0.2">
      <c r="F16" s="156"/>
      <c r="G16" s="166"/>
      <c r="H16" s="83"/>
      <c r="I16" s="83"/>
      <c r="J16" s="83"/>
      <c r="K16" s="15"/>
      <c r="L16" s="167">
        <f>+H16</f>
        <v>0</v>
      </c>
      <c r="M16" s="148">
        <f>IF(I16=0,0,I16-H16)</f>
        <v>0</v>
      </c>
      <c r="N16" s="148">
        <f t="shared" si="4"/>
        <v>0</v>
      </c>
      <c r="O16" s="148">
        <f t="shared" si="4"/>
        <v>0</v>
      </c>
      <c r="P16" s="150">
        <f t="shared" si="5"/>
        <v>0</v>
      </c>
      <c r="Q16" s="151"/>
      <c r="R16" s="152">
        <f t="shared" si="6"/>
        <v>0</v>
      </c>
      <c r="S16" s="168" t="str">
        <f t="shared" si="1"/>
        <v/>
      </c>
      <c r="T16" s="154">
        <f t="shared" si="7"/>
        <v>0</v>
      </c>
      <c r="U16" s="169" t="str">
        <f t="shared" si="2"/>
        <v/>
      </c>
    </row>
    <row r="17" spans="2:21" outlineLevel="1" x14ac:dyDescent="0.2">
      <c r="F17" s="156"/>
      <c r="G17" s="166"/>
      <c r="H17" s="83"/>
      <c r="I17" s="83"/>
      <c r="J17" s="83"/>
      <c r="K17" s="15"/>
      <c r="L17" s="167">
        <f t="shared" si="3"/>
        <v>0</v>
      </c>
      <c r="M17" s="148">
        <f t="shared" si="4"/>
        <v>0</v>
      </c>
      <c r="N17" s="148">
        <f t="shared" si="4"/>
        <v>0</v>
      </c>
      <c r="O17" s="148">
        <f t="shared" si="4"/>
        <v>0</v>
      </c>
      <c r="P17" s="150">
        <f t="shared" si="5"/>
        <v>0</v>
      </c>
      <c r="Q17" s="151"/>
      <c r="R17" s="152">
        <f t="shared" si="6"/>
        <v>0</v>
      </c>
      <c r="S17" s="153"/>
      <c r="T17" s="154">
        <f t="shared" si="7"/>
        <v>0</v>
      </c>
      <c r="U17" s="170" t="str">
        <f t="shared" si="2"/>
        <v/>
      </c>
    </row>
    <row r="18" spans="2:21" outlineLevel="1" x14ac:dyDescent="0.2">
      <c r="F18" s="156"/>
      <c r="G18" s="166"/>
      <c r="H18" s="83"/>
      <c r="I18" s="83"/>
      <c r="J18" s="83"/>
      <c r="K18" s="15"/>
      <c r="L18" s="167"/>
      <c r="M18" s="148"/>
      <c r="N18" s="148"/>
      <c r="O18" s="148"/>
      <c r="P18" s="150"/>
      <c r="Q18" s="151"/>
      <c r="R18" s="152"/>
      <c r="S18" s="153"/>
      <c r="T18" s="154"/>
      <c r="U18" s="155"/>
    </row>
    <row r="19" spans="2:21" outlineLevel="1" x14ac:dyDescent="0.2">
      <c r="F19" s="156"/>
      <c r="G19" s="166"/>
      <c r="H19" s="83"/>
      <c r="I19" s="83"/>
      <c r="J19" s="83"/>
      <c r="K19" s="15"/>
      <c r="L19" s="167"/>
      <c r="M19" s="148"/>
      <c r="N19" s="148"/>
      <c r="O19" s="148"/>
      <c r="P19" s="150"/>
      <c r="Q19" s="151"/>
      <c r="R19" s="152"/>
      <c r="S19" s="153"/>
      <c r="T19" s="154"/>
      <c r="U19" s="155"/>
    </row>
    <row r="20" spans="2:21" x14ac:dyDescent="0.2">
      <c r="B20" s="118" t="s">
        <v>388</v>
      </c>
      <c r="F20" s="156"/>
      <c r="G20" s="157">
        <f>SUM(G21:G32)</f>
        <v>0</v>
      </c>
      <c r="H20" s="84">
        <f>SUM(H21:H32)</f>
        <v>0</v>
      </c>
      <c r="I20" s="84">
        <f>SUM(I21:I32)</f>
        <v>0</v>
      </c>
      <c r="J20" s="84">
        <f>SUM(J21:J32)</f>
        <v>0</v>
      </c>
      <c r="K20" s="290">
        <f>SUM(K21:K32)</f>
        <v>0</v>
      </c>
      <c r="L20" s="159">
        <f t="shared" ref="L20:R20" si="8">SUM(L21:L32)</f>
        <v>0</v>
      </c>
      <c r="M20" s="158">
        <f t="shared" si="8"/>
        <v>0</v>
      </c>
      <c r="N20" s="158">
        <f t="shared" si="8"/>
        <v>0</v>
      </c>
      <c r="O20" s="158">
        <f t="shared" si="8"/>
        <v>0</v>
      </c>
      <c r="P20" s="160">
        <f t="shared" si="8"/>
        <v>0</v>
      </c>
      <c r="Q20" s="161">
        <f>SUM(Q21:Q32)</f>
        <v>0</v>
      </c>
      <c r="R20" s="162">
        <f t="shared" si="8"/>
        <v>0</v>
      </c>
      <c r="S20" s="163" t="str">
        <f t="shared" ref="S20:S31" si="9">IF(Q20=0,"",P20/Q20)</f>
        <v/>
      </c>
      <c r="T20" s="164">
        <f>SUM(T21:T32)</f>
        <v>0</v>
      </c>
      <c r="U20" s="165" t="str">
        <f t="shared" ref="U20:U28" si="10">IF(G20=0,"",P20/G20)</f>
        <v/>
      </c>
    </row>
    <row r="21" spans="2:21" hidden="1" outlineLevel="1" x14ac:dyDescent="0.2">
      <c r="C21" s="116" t="s">
        <v>389</v>
      </c>
      <c r="F21" s="156">
        <v>5182</v>
      </c>
      <c r="G21" s="166"/>
      <c r="H21" s="83"/>
      <c r="I21" s="83"/>
      <c r="J21" s="83"/>
      <c r="K21" s="15"/>
      <c r="L21" s="167">
        <f t="shared" ref="L21:L30" si="11">+H21</f>
        <v>0</v>
      </c>
      <c r="M21" s="148">
        <f t="shared" ref="M21:O30" si="12">IF(I21=0,0,I21-H21)</f>
        <v>0</v>
      </c>
      <c r="N21" s="148">
        <f t="shared" si="12"/>
        <v>0</v>
      </c>
      <c r="O21" s="148">
        <f t="shared" si="12"/>
        <v>0</v>
      </c>
      <c r="P21" s="150">
        <f t="shared" ref="P21:P30" si="13">SUM(L21:O21)</f>
        <v>0</v>
      </c>
      <c r="Q21" s="151"/>
      <c r="R21" s="152">
        <f t="shared" ref="R21:R31" si="14">P21-Q21</f>
        <v>0</v>
      </c>
      <c r="S21" s="168" t="str">
        <f t="shared" si="9"/>
        <v/>
      </c>
      <c r="T21" s="154">
        <f t="shared" ref="T21:T31" si="15">P21-G21</f>
        <v>0</v>
      </c>
      <c r="U21" s="169" t="str">
        <f t="shared" si="10"/>
        <v/>
      </c>
    </row>
    <row r="22" spans="2:21" hidden="1" outlineLevel="1" x14ac:dyDescent="0.2">
      <c r="C22" s="116" t="s">
        <v>390</v>
      </c>
      <c r="F22" s="156">
        <v>5181</v>
      </c>
      <c r="G22" s="166"/>
      <c r="H22" s="83"/>
      <c r="I22" s="83"/>
      <c r="J22" s="83"/>
      <c r="K22" s="15"/>
      <c r="L22" s="167">
        <f>+H22</f>
        <v>0</v>
      </c>
      <c r="M22" s="148">
        <f>IF(I22=0,0,I22-H22)</f>
        <v>0</v>
      </c>
      <c r="N22" s="148">
        <f t="shared" si="12"/>
        <v>0</v>
      </c>
      <c r="O22" s="148">
        <f t="shared" si="12"/>
        <v>0</v>
      </c>
      <c r="P22" s="150">
        <f t="shared" si="13"/>
        <v>0</v>
      </c>
      <c r="Q22" s="151"/>
      <c r="R22" s="152">
        <f t="shared" si="14"/>
        <v>0</v>
      </c>
      <c r="S22" s="168" t="str">
        <f t="shared" si="9"/>
        <v/>
      </c>
      <c r="T22" s="154">
        <f t="shared" si="15"/>
        <v>0</v>
      </c>
      <c r="U22" s="169" t="str">
        <f t="shared" si="10"/>
        <v/>
      </c>
    </row>
    <row r="23" spans="2:21" hidden="1" outlineLevel="1" x14ac:dyDescent="0.2">
      <c r="C23" s="116" t="s">
        <v>391</v>
      </c>
      <c r="F23" s="156" t="s">
        <v>392</v>
      </c>
      <c r="G23" s="166"/>
      <c r="H23" s="83"/>
      <c r="I23" s="83"/>
      <c r="J23" s="83"/>
      <c r="K23" s="15"/>
      <c r="L23" s="167">
        <f t="shared" si="11"/>
        <v>0</v>
      </c>
      <c r="M23" s="148">
        <f t="shared" si="12"/>
        <v>0</v>
      </c>
      <c r="N23" s="148">
        <f t="shared" si="12"/>
        <v>0</v>
      </c>
      <c r="O23" s="148">
        <f t="shared" si="12"/>
        <v>0</v>
      </c>
      <c r="P23" s="150">
        <f t="shared" si="13"/>
        <v>0</v>
      </c>
      <c r="Q23" s="151"/>
      <c r="R23" s="152">
        <f t="shared" si="14"/>
        <v>0</v>
      </c>
      <c r="S23" s="168" t="str">
        <f t="shared" si="9"/>
        <v/>
      </c>
      <c r="T23" s="154">
        <f t="shared" si="15"/>
        <v>0</v>
      </c>
      <c r="U23" s="169" t="str">
        <f t="shared" si="10"/>
        <v/>
      </c>
    </row>
    <row r="24" spans="2:21" hidden="1" outlineLevel="1" x14ac:dyDescent="0.2">
      <c r="C24" s="116" t="s">
        <v>282</v>
      </c>
      <c r="F24" s="156" t="s">
        <v>283</v>
      </c>
      <c r="G24" s="166"/>
      <c r="H24" s="83"/>
      <c r="I24" s="83"/>
      <c r="J24" s="83"/>
      <c r="K24" s="15"/>
      <c r="L24" s="167">
        <f t="shared" si="11"/>
        <v>0</v>
      </c>
      <c r="M24" s="148">
        <f t="shared" si="12"/>
        <v>0</v>
      </c>
      <c r="N24" s="148">
        <f t="shared" si="12"/>
        <v>0</v>
      </c>
      <c r="O24" s="148">
        <f t="shared" si="12"/>
        <v>0</v>
      </c>
      <c r="P24" s="150">
        <f t="shared" si="13"/>
        <v>0</v>
      </c>
      <c r="Q24" s="151"/>
      <c r="R24" s="152">
        <f t="shared" si="14"/>
        <v>0</v>
      </c>
      <c r="S24" s="168" t="str">
        <f t="shared" si="9"/>
        <v/>
      </c>
      <c r="T24" s="154">
        <f t="shared" si="15"/>
        <v>0</v>
      </c>
      <c r="U24" s="169" t="str">
        <f t="shared" si="10"/>
        <v/>
      </c>
    </row>
    <row r="25" spans="2:21" hidden="1" outlineLevel="1" x14ac:dyDescent="0.2">
      <c r="C25" s="116" t="s">
        <v>284</v>
      </c>
      <c r="F25" s="156" t="s">
        <v>285</v>
      </c>
      <c r="G25" s="166"/>
      <c r="H25" s="83"/>
      <c r="I25" s="83"/>
      <c r="J25" s="83"/>
      <c r="K25" s="15"/>
      <c r="L25" s="167">
        <f t="shared" si="11"/>
        <v>0</v>
      </c>
      <c r="M25" s="148">
        <f t="shared" si="12"/>
        <v>0</v>
      </c>
      <c r="N25" s="148">
        <f t="shared" si="12"/>
        <v>0</v>
      </c>
      <c r="O25" s="148">
        <f t="shared" si="12"/>
        <v>0</v>
      </c>
      <c r="P25" s="150">
        <f t="shared" si="13"/>
        <v>0</v>
      </c>
      <c r="Q25" s="151"/>
      <c r="R25" s="152">
        <f t="shared" si="14"/>
        <v>0</v>
      </c>
      <c r="S25" s="168" t="str">
        <f t="shared" si="9"/>
        <v/>
      </c>
      <c r="T25" s="154">
        <f t="shared" si="15"/>
        <v>0</v>
      </c>
      <c r="U25" s="169" t="str">
        <f t="shared" si="10"/>
        <v/>
      </c>
    </row>
    <row r="26" spans="2:21" hidden="1" outlineLevel="1" x14ac:dyDescent="0.2">
      <c r="C26" s="116" t="s">
        <v>286</v>
      </c>
      <c r="F26" s="156" t="s">
        <v>287</v>
      </c>
      <c r="G26" s="166"/>
      <c r="H26" s="83"/>
      <c r="I26" s="83"/>
      <c r="J26" s="83"/>
      <c r="K26" s="15"/>
      <c r="L26" s="167">
        <f t="shared" si="11"/>
        <v>0</v>
      </c>
      <c r="M26" s="148">
        <f t="shared" si="12"/>
        <v>0</v>
      </c>
      <c r="N26" s="148">
        <f t="shared" si="12"/>
        <v>0</v>
      </c>
      <c r="O26" s="148">
        <f t="shared" si="12"/>
        <v>0</v>
      </c>
      <c r="P26" s="150">
        <f t="shared" si="13"/>
        <v>0</v>
      </c>
      <c r="Q26" s="151"/>
      <c r="R26" s="152">
        <f t="shared" si="14"/>
        <v>0</v>
      </c>
      <c r="S26" s="168" t="str">
        <f t="shared" si="9"/>
        <v/>
      </c>
      <c r="T26" s="154">
        <f t="shared" si="15"/>
        <v>0</v>
      </c>
      <c r="U26" s="169" t="str">
        <f t="shared" si="10"/>
        <v/>
      </c>
    </row>
    <row r="27" spans="2:21" hidden="1" outlineLevel="1" x14ac:dyDescent="0.2">
      <c r="C27" s="116" t="s">
        <v>382</v>
      </c>
      <c r="F27" s="156" t="s">
        <v>383</v>
      </c>
      <c r="G27" s="166"/>
      <c r="H27" s="83"/>
      <c r="I27" s="83"/>
      <c r="J27" s="83"/>
      <c r="K27" s="15"/>
      <c r="L27" s="167">
        <f t="shared" si="11"/>
        <v>0</v>
      </c>
      <c r="M27" s="148">
        <f t="shared" si="12"/>
        <v>0</v>
      </c>
      <c r="N27" s="148">
        <f t="shared" si="12"/>
        <v>0</v>
      </c>
      <c r="O27" s="148">
        <f t="shared" si="12"/>
        <v>0</v>
      </c>
      <c r="P27" s="150">
        <f t="shared" si="13"/>
        <v>0</v>
      </c>
      <c r="Q27" s="151"/>
      <c r="R27" s="152">
        <f t="shared" si="14"/>
        <v>0</v>
      </c>
      <c r="S27" s="168" t="str">
        <f t="shared" si="9"/>
        <v/>
      </c>
      <c r="T27" s="154">
        <f t="shared" si="15"/>
        <v>0</v>
      </c>
      <c r="U27" s="169" t="str">
        <f t="shared" si="10"/>
        <v/>
      </c>
    </row>
    <row r="28" spans="2:21" hidden="1" outlineLevel="1" x14ac:dyDescent="0.2">
      <c r="C28" s="116" t="s">
        <v>387</v>
      </c>
      <c r="F28" s="156">
        <v>5490</v>
      </c>
      <c r="G28" s="166"/>
      <c r="H28" s="83"/>
      <c r="I28" s="83"/>
      <c r="J28" s="83"/>
      <c r="K28" s="15"/>
      <c r="L28" s="167">
        <f t="shared" si="11"/>
        <v>0</v>
      </c>
      <c r="M28" s="148">
        <f t="shared" si="12"/>
        <v>0</v>
      </c>
      <c r="N28" s="148">
        <f t="shared" si="12"/>
        <v>0</v>
      </c>
      <c r="O28" s="148">
        <f t="shared" si="12"/>
        <v>0</v>
      </c>
      <c r="P28" s="150">
        <f t="shared" si="13"/>
        <v>0</v>
      </c>
      <c r="Q28" s="151"/>
      <c r="R28" s="152">
        <f t="shared" si="14"/>
        <v>0</v>
      </c>
      <c r="S28" s="168" t="str">
        <f t="shared" si="9"/>
        <v/>
      </c>
      <c r="T28" s="154">
        <f t="shared" si="15"/>
        <v>0</v>
      </c>
      <c r="U28" s="169" t="str">
        <f t="shared" si="10"/>
        <v/>
      </c>
    </row>
    <row r="29" spans="2:21" hidden="1" outlineLevel="1" x14ac:dyDescent="0.2">
      <c r="F29" s="156"/>
      <c r="G29" s="166"/>
      <c r="H29" s="83"/>
      <c r="I29" s="83"/>
      <c r="J29" s="83"/>
      <c r="K29" s="15"/>
      <c r="L29" s="167">
        <f t="shared" si="11"/>
        <v>0</v>
      </c>
      <c r="M29" s="148">
        <f t="shared" si="12"/>
        <v>0</v>
      </c>
      <c r="N29" s="148">
        <f t="shared" si="12"/>
        <v>0</v>
      </c>
      <c r="O29" s="148">
        <f t="shared" si="12"/>
        <v>0</v>
      </c>
      <c r="P29" s="150">
        <f t="shared" si="13"/>
        <v>0</v>
      </c>
      <c r="Q29" s="151"/>
      <c r="R29" s="152">
        <f t="shared" si="14"/>
        <v>0</v>
      </c>
      <c r="S29" s="168" t="str">
        <f t="shared" si="9"/>
        <v/>
      </c>
      <c r="T29" s="154">
        <f t="shared" si="15"/>
        <v>0</v>
      </c>
      <c r="U29" s="155"/>
    </row>
    <row r="30" spans="2:21" hidden="1" outlineLevel="1" x14ac:dyDescent="0.2">
      <c r="F30" s="156"/>
      <c r="G30" s="166"/>
      <c r="H30" s="83"/>
      <c r="I30" s="83"/>
      <c r="J30" s="83"/>
      <c r="K30" s="15"/>
      <c r="L30" s="167">
        <f t="shared" si="11"/>
        <v>0</v>
      </c>
      <c r="M30" s="148">
        <f t="shared" si="12"/>
        <v>0</v>
      </c>
      <c r="N30" s="148">
        <f t="shared" si="12"/>
        <v>0</v>
      </c>
      <c r="O30" s="148">
        <f t="shared" si="12"/>
        <v>0</v>
      </c>
      <c r="P30" s="150">
        <f t="shared" si="13"/>
        <v>0</v>
      </c>
      <c r="Q30" s="151"/>
      <c r="R30" s="152">
        <f t="shared" si="14"/>
        <v>0</v>
      </c>
      <c r="S30" s="168" t="str">
        <f t="shared" si="9"/>
        <v/>
      </c>
      <c r="T30" s="154">
        <f t="shared" si="15"/>
        <v>0</v>
      </c>
      <c r="U30" s="155"/>
    </row>
    <row r="31" spans="2:21" hidden="1" outlineLevel="1" x14ac:dyDescent="0.2">
      <c r="F31" s="156"/>
      <c r="G31" s="166"/>
      <c r="H31" s="83"/>
      <c r="I31" s="83"/>
      <c r="J31" s="83"/>
      <c r="K31" s="15"/>
      <c r="L31" s="167"/>
      <c r="M31" s="148"/>
      <c r="N31" s="148"/>
      <c r="O31" s="148"/>
      <c r="P31" s="150"/>
      <c r="Q31" s="151"/>
      <c r="R31" s="152">
        <f t="shared" si="14"/>
        <v>0</v>
      </c>
      <c r="S31" s="168" t="str">
        <f t="shared" si="9"/>
        <v/>
      </c>
      <c r="T31" s="154">
        <f t="shared" si="15"/>
        <v>0</v>
      </c>
      <c r="U31" s="155"/>
    </row>
    <row r="32" spans="2:21" hidden="1" outlineLevel="1" x14ac:dyDescent="0.2">
      <c r="F32" s="156"/>
      <c r="G32" s="166"/>
      <c r="H32" s="83"/>
      <c r="I32" s="83"/>
      <c r="J32" s="83"/>
      <c r="K32" s="15"/>
      <c r="L32" s="167"/>
      <c r="M32" s="148"/>
      <c r="N32" s="148"/>
      <c r="O32" s="148"/>
      <c r="P32" s="150"/>
      <c r="Q32" s="151"/>
      <c r="R32" s="152"/>
      <c r="S32" s="153"/>
      <c r="T32" s="154"/>
      <c r="U32" s="155"/>
    </row>
    <row r="33" spans="1:21" hidden="1" outlineLevel="1" x14ac:dyDescent="0.2">
      <c r="F33" s="156"/>
      <c r="G33" s="166"/>
      <c r="H33" s="83"/>
      <c r="I33" s="83"/>
      <c r="J33" s="83"/>
      <c r="K33" s="15"/>
      <c r="L33" s="167"/>
      <c r="M33" s="148"/>
      <c r="N33" s="148"/>
      <c r="O33" s="148"/>
      <c r="P33" s="150"/>
      <c r="Q33" s="151"/>
      <c r="R33" s="152"/>
      <c r="S33" s="153"/>
      <c r="T33" s="154"/>
      <c r="U33" s="155"/>
    </row>
    <row r="34" spans="1:21" collapsed="1" x14ac:dyDescent="0.2">
      <c r="B34" s="118" t="s">
        <v>288</v>
      </c>
      <c r="F34" s="156"/>
      <c r="G34" s="157">
        <f>SUM(G35:G43)</f>
        <v>0</v>
      </c>
      <c r="H34" s="84">
        <f>SUM(H35:H43)</f>
        <v>0</v>
      </c>
      <c r="I34" s="84">
        <f>SUM(I35:I43)</f>
        <v>0</v>
      </c>
      <c r="J34" s="84">
        <f>SUM(J35:J43)</f>
        <v>0</v>
      </c>
      <c r="K34" s="290">
        <f>SUM(K35:K43)</f>
        <v>0</v>
      </c>
      <c r="L34" s="159">
        <f t="shared" ref="L34:R34" si="16">SUM(L35:L43)</f>
        <v>0</v>
      </c>
      <c r="M34" s="158">
        <f t="shared" si="16"/>
        <v>0</v>
      </c>
      <c r="N34" s="158">
        <f t="shared" si="16"/>
        <v>0</v>
      </c>
      <c r="O34" s="158">
        <f t="shared" si="16"/>
        <v>0</v>
      </c>
      <c r="P34" s="160">
        <f t="shared" si="16"/>
        <v>0</v>
      </c>
      <c r="Q34" s="161">
        <f>SUM(Q35:Q43)</f>
        <v>0</v>
      </c>
      <c r="R34" s="162">
        <f t="shared" si="16"/>
        <v>0</v>
      </c>
      <c r="S34" s="171" t="str">
        <f>IF(Q34=0,"",P34/Q34)</f>
        <v/>
      </c>
      <c r="T34" s="164">
        <f>SUM(T35:T43)</f>
        <v>0</v>
      </c>
      <c r="U34" s="172" t="str">
        <f>IF(G34=0,"",P34/G34)</f>
        <v/>
      </c>
    </row>
    <row r="35" spans="1:21" hidden="1" outlineLevel="1" x14ac:dyDescent="0.2">
      <c r="C35" s="116" t="s">
        <v>289</v>
      </c>
      <c r="F35" s="156"/>
      <c r="G35" s="166"/>
      <c r="H35" s="85"/>
      <c r="I35" s="83"/>
      <c r="J35" s="83"/>
      <c r="K35" s="15"/>
      <c r="L35" s="167">
        <f>+H35</f>
        <v>0</v>
      </c>
      <c r="M35" s="148">
        <f t="shared" ref="M35:O36" si="17">IF(I35=0,0,I35-H35)</f>
        <v>0</v>
      </c>
      <c r="N35" s="148">
        <f t="shared" si="17"/>
        <v>0</v>
      </c>
      <c r="O35" s="148">
        <f t="shared" si="17"/>
        <v>0</v>
      </c>
      <c r="P35" s="150">
        <f>SUM(L35:O35)</f>
        <v>0</v>
      </c>
      <c r="Q35" s="151"/>
      <c r="R35" s="152">
        <f>P35-Q35</f>
        <v>0</v>
      </c>
      <c r="S35" s="173" t="str">
        <f>IF(Q35=0,"",P35/Q35)</f>
        <v/>
      </c>
      <c r="T35" s="154">
        <f>P35-G35</f>
        <v>0</v>
      </c>
      <c r="U35" s="170" t="str">
        <f>IF(G35=0,"",P35/G35)</f>
        <v/>
      </c>
    </row>
    <row r="36" spans="1:21" hidden="1" outlineLevel="1" x14ac:dyDescent="0.2">
      <c r="C36" s="116" t="s">
        <v>393</v>
      </c>
      <c r="F36" s="156"/>
      <c r="G36" s="166"/>
      <c r="H36" s="85"/>
      <c r="I36" s="83"/>
      <c r="J36" s="83"/>
      <c r="K36" s="15"/>
      <c r="L36" s="167">
        <f>+H36</f>
        <v>0</v>
      </c>
      <c r="M36" s="148">
        <f t="shared" si="17"/>
        <v>0</v>
      </c>
      <c r="N36" s="148">
        <f t="shared" si="17"/>
        <v>0</v>
      </c>
      <c r="O36" s="148">
        <f t="shared" si="17"/>
        <v>0</v>
      </c>
      <c r="P36" s="150">
        <f>SUM(L36:O36)</f>
        <v>0</v>
      </c>
      <c r="Q36" s="174"/>
      <c r="R36" s="152">
        <f>P36-Q36</f>
        <v>0</v>
      </c>
      <c r="S36" s="173" t="str">
        <f>IF(Q36=0,"",P36/Q36)</f>
        <v/>
      </c>
      <c r="T36" s="154">
        <f>P36-G36</f>
        <v>0</v>
      </c>
      <c r="U36" s="170" t="str">
        <f>IF(G36=0,"",P36/G36)</f>
        <v/>
      </c>
    </row>
    <row r="37" spans="1:21" hidden="1" outlineLevel="1" x14ac:dyDescent="0.2">
      <c r="C37" s="116" t="s">
        <v>284</v>
      </c>
      <c r="F37" s="156" t="s">
        <v>285</v>
      </c>
      <c r="G37" s="166"/>
      <c r="H37" s="85"/>
      <c r="I37" s="83"/>
      <c r="J37" s="83"/>
      <c r="K37" s="15"/>
      <c r="L37" s="167"/>
      <c r="M37" s="148"/>
      <c r="N37" s="148"/>
      <c r="O37" s="148"/>
      <c r="P37" s="150"/>
      <c r="Q37" s="151"/>
      <c r="R37" s="152"/>
      <c r="S37" s="173"/>
      <c r="T37" s="154"/>
      <c r="U37" s="170"/>
    </row>
    <row r="38" spans="1:21" hidden="1" outlineLevel="1" x14ac:dyDescent="0.2">
      <c r="C38" s="116" t="s">
        <v>382</v>
      </c>
      <c r="F38" s="156" t="s">
        <v>383</v>
      </c>
      <c r="G38" s="166"/>
      <c r="H38" s="85"/>
      <c r="I38" s="83"/>
      <c r="J38" s="83"/>
      <c r="K38" s="15"/>
      <c r="L38" s="167">
        <f>+H38</f>
        <v>0</v>
      </c>
      <c r="M38" s="148">
        <f t="shared" ref="M38:O42" si="18">IF(I38=0,0,I38-H38)</f>
        <v>0</v>
      </c>
      <c r="N38" s="148">
        <f t="shared" si="18"/>
        <v>0</v>
      </c>
      <c r="O38" s="148">
        <f t="shared" si="18"/>
        <v>0</v>
      </c>
      <c r="P38" s="150">
        <f>SUM(L38:O38)</f>
        <v>0</v>
      </c>
      <c r="Q38" s="151"/>
      <c r="R38" s="152">
        <f t="shared" ref="R38:R43" si="19">P38-Q38</f>
        <v>0</v>
      </c>
      <c r="S38" s="173" t="str">
        <f t="shared" ref="S38:S43" si="20">IF(Q38=0,"",P38/Q38)</f>
        <v/>
      </c>
      <c r="T38" s="154">
        <f t="shared" ref="T38:T43" si="21">P38-G38</f>
        <v>0</v>
      </c>
      <c r="U38" s="170" t="str">
        <f t="shared" ref="U38:U43" si="22">IF(G38=0,"",P38/G38)</f>
        <v/>
      </c>
    </row>
    <row r="39" spans="1:21" hidden="1" outlineLevel="1" x14ac:dyDescent="0.2">
      <c r="C39" s="116" t="s">
        <v>394</v>
      </c>
      <c r="F39" s="156"/>
      <c r="G39" s="166"/>
      <c r="H39" s="85"/>
      <c r="I39" s="83"/>
      <c r="J39" s="83"/>
      <c r="K39" s="15"/>
      <c r="L39" s="167">
        <f>+H39</f>
        <v>0</v>
      </c>
      <c r="M39" s="148">
        <f t="shared" si="18"/>
        <v>0</v>
      </c>
      <c r="N39" s="148">
        <f t="shared" si="18"/>
        <v>0</v>
      </c>
      <c r="O39" s="148">
        <f t="shared" si="18"/>
        <v>0</v>
      </c>
      <c r="P39" s="150">
        <f>SUM(L39:O39)</f>
        <v>0</v>
      </c>
      <c r="Q39" s="151"/>
      <c r="R39" s="152">
        <f t="shared" si="19"/>
        <v>0</v>
      </c>
      <c r="S39" s="173" t="str">
        <f t="shared" si="20"/>
        <v/>
      </c>
      <c r="T39" s="154">
        <f t="shared" si="21"/>
        <v>0</v>
      </c>
      <c r="U39" s="170" t="str">
        <f t="shared" si="22"/>
        <v/>
      </c>
    </row>
    <row r="40" spans="1:21" hidden="1" outlineLevel="1" x14ac:dyDescent="0.2">
      <c r="C40" s="116" t="s">
        <v>387</v>
      </c>
      <c r="F40" s="156">
        <v>5490</v>
      </c>
      <c r="G40" s="166"/>
      <c r="H40" s="83"/>
      <c r="I40" s="83"/>
      <c r="J40" s="83"/>
      <c r="K40" s="15"/>
      <c r="L40" s="167">
        <f>+H40</f>
        <v>0</v>
      </c>
      <c r="M40" s="148">
        <f t="shared" si="18"/>
        <v>0</v>
      </c>
      <c r="N40" s="148">
        <f t="shared" si="18"/>
        <v>0</v>
      </c>
      <c r="O40" s="148">
        <f t="shared" si="18"/>
        <v>0</v>
      </c>
      <c r="P40" s="150">
        <f>SUM(L40:O40)</f>
        <v>0</v>
      </c>
      <c r="Q40" s="151"/>
      <c r="R40" s="152">
        <f t="shared" si="19"/>
        <v>0</v>
      </c>
      <c r="S40" s="173" t="str">
        <f t="shared" si="20"/>
        <v/>
      </c>
      <c r="T40" s="154">
        <f t="shared" si="21"/>
        <v>0</v>
      </c>
      <c r="U40" s="170" t="str">
        <f t="shared" si="22"/>
        <v/>
      </c>
    </row>
    <row r="41" spans="1:21" hidden="1" outlineLevel="1" x14ac:dyDescent="0.2">
      <c r="F41" s="156"/>
      <c r="G41" s="166"/>
      <c r="H41" s="83"/>
      <c r="I41" s="83"/>
      <c r="J41" s="83"/>
      <c r="K41" s="15"/>
      <c r="L41" s="167">
        <f>+H41</f>
        <v>0</v>
      </c>
      <c r="M41" s="148">
        <f t="shared" si="18"/>
        <v>0</v>
      </c>
      <c r="N41" s="148">
        <f t="shared" si="18"/>
        <v>0</v>
      </c>
      <c r="O41" s="148">
        <f t="shared" si="18"/>
        <v>0</v>
      </c>
      <c r="P41" s="150">
        <f>SUM(L41:O41)</f>
        <v>0</v>
      </c>
      <c r="Q41" s="151"/>
      <c r="R41" s="152">
        <f t="shared" si="19"/>
        <v>0</v>
      </c>
      <c r="S41" s="173" t="str">
        <f t="shared" si="20"/>
        <v/>
      </c>
      <c r="T41" s="154">
        <f t="shared" si="21"/>
        <v>0</v>
      </c>
      <c r="U41" s="170" t="str">
        <f t="shared" si="22"/>
        <v/>
      </c>
    </row>
    <row r="42" spans="1:21" hidden="1" outlineLevel="1" x14ac:dyDescent="0.2">
      <c r="F42" s="156"/>
      <c r="G42" s="166"/>
      <c r="H42" s="83"/>
      <c r="I42" s="83"/>
      <c r="J42" s="83"/>
      <c r="K42" s="15"/>
      <c r="L42" s="167">
        <f>+H42</f>
        <v>0</v>
      </c>
      <c r="M42" s="148">
        <f t="shared" si="18"/>
        <v>0</v>
      </c>
      <c r="N42" s="148">
        <f t="shared" si="18"/>
        <v>0</v>
      </c>
      <c r="O42" s="148">
        <f t="shared" si="18"/>
        <v>0</v>
      </c>
      <c r="P42" s="150">
        <f>SUM(L42:O42)</f>
        <v>0</v>
      </c>
      <c r="Q42" s="151"/>
      <c r="R42" s="152">
        <f t="shared" si="19"/>
        <v>0</v>
      </c>
      <c r="S42" s="173" t="str">
        <f t="shared" si="20"/>
        <v/>
      </c>
      <c r="T42" s="154">
        <f t="shared" si="21"/>
        <v>0</v>
      </c>
      <c r="U42" s="170" t="str">
        <f t="shared" si="22"/>
        <v/>
      </c>
    </row>
    <row r="43" spans="1:21" hidden="1" outlineLevel="1" x14ac:dyDescent="0.2">
      <c r="F43" s="156"/>
      <c r="G43" s="166"/>
      <c r="H43" s="83"/>
      <c r="I43" s="83"/>
      <c r="J43" s="83"/>
      <c r="K43" s="15"/>
      <c r="L43" s="167"/>
      <c r="M43" s="148"/>
      <c r="N43" s="148"/>
      <c r="O43" s="148"/>
      <c r="P43" s="150"/>
      <c r="Q43" s="151"/>
      <c r="R43" s="152">
        <f t="shared" si="19"/>
        <v>0</v>
      </c>
      <c r="S43" s="173" t="str">
        <f t="shared" si="20"/>
        <v/>
      </c>
      <c r="T43" s="154">
        <f t="shared" si="21"/>
        <v>0</v>
      </c>
      <c r="U43" s="170" t="str">
        <f t="shared" si="22"/>
        <v/>
      </c>
    </row>
    <row r="44" spans="1:21" hidden="1" outlineLevel="1" x14ac:dyDescent="0.2">
      <c r="F44" s="156"/>
      <c r="G44" s="166"/>
      <c r="H44" s="83"/>
      <c r="I44" s="83"/>
      <c r="J44" s="83"/>
      <c r="K44" s="15"/>
      <c r="L44" s="167"/>
      <c r="M44" s="148"/>
      <c r="N44" s="148"/>
      <c r="O44" s="148"/>
      <c r="P44" s="150"/>
      <c r="Q44" s="151"/>
      <c r="R44" s="152"/>
      <c r="S44" s="153"/>
      <c r="T44" s="154"/>
      <c r="U44" s="155"/>
    </row>
    <row r="45" spans="1:21" collapsed="1" x14ac:dyDescent="0.2">
      <c r="A45" s="118" t="s">
        <v>395</v>
      </c>
      <c r="F45" s="156"/>
      <c r="G45" s="175">
        <f t="shared" ref="G45:Q45" si="23">+G8+G20+G34</f>
        <v>41567.78</v>
      </c>
      <c r="H45" s="86">
        <f t="shared" si="23"/>
        <v>10462</v>
      </c>
      <c r="I45" s="86">
        <f t="shared" si="23"/>
        <v>27083</v>
      </c>
      <c r="J45" s="86">
        <f t="shared" si="23"/>
        <v>34145</v>
      </c>
      <c r="K45" s="291">
        <f t="shared" si="23"/>
        <v>40441</v>
      </c>
      <c r="L45" s="177">
        <f t="shared" si="23"/>
        <v>10462</v>
      </c>
      <c r="M45" s="176">
        <f t="shared" si="23"/>
        <v>16621</v>
      </c>
      <c r="N45" s="176">
        <f t="shared" si="23"/>
        <v>7062</v>
      </c>
      <c r="O45" s="176">
        <f t="shared" si="23"/>
        <v>6296</v>
      </c>
      <c r="P45" s="178">
        <f t="shared" si="23"/>
        <v>40441</v>
      </c>
      <c r="Q45" s="179">
        <f t="shared" si="23"/>
        <v>41567</v>
      </c>
      <c r="R45" s="180">
        <f>R8+R20+R34</f>
        <v>-1126</v>
      </c>
      <c r="S45" s="181">
        <f>IF(Q45=0,"",P45/Q45)</f>
        <v>0.97291120359900884</v>
      </c>
      <c r="T45" s="182">
        <f>T8+T20+T34</f>
        <v>-1126.7799999999997</v>
      </c>
      <c r="U45" s="183">
        <f>IF(G45=0,"",P45/G45)</f>
        <v>0.97289294737414411</v>
      </c>
    </row>
    <row r="46" spans="1:21" x14ac:dyDescent="0.2">
      <c r="F46" s="156"/>
      <c r="G46" s="166"/>
      <c r="H46" s="83"/>
      <c r="I46" s="83"/>
      <c r="J46" s="83"/>
      <c r="K46" s="15"/>
      <c r="L46" s="167"/>
      <c r="M46" s="148"/>
      <c r="N46" s="148"/>
      <c r="O46" s="148"/>
      <c r="P46" s="150"/>
      <c r="Q46" s="151"/>
      <c r="R46" s="152"/>
      <c r="S46" s="153"/>
      <c r="T46" s="154"/>
      <c r="U46" s="155"/>
    </row>
    <row r="47" spans="1:21" x14ac:dyDescent="0.2">
      <c r="A47" s="118" t="s">
        <v>396</v>
      </c>
      <c r="F47" s="156"/>
      <c r="G47" s="166"/>
      <c r="H47" s="83"/>
      <c r="I47" s="83"/>
      <c r="J47" s="83"/>
      <c r="K47" s="15"/>
      <c r="L47" s="167"/>
      <c r="M47" s="148"/>
      <c r="N47" s="148"/>
      <c r="O47" s="148"/>
      <c r="P47" s="150"/>
      <c r="Q47" s="151"/>
      <c r="R47" s="152"/>
      <c r="S47" s="153"/>
      <c r="T47" s="154"/>
      <c r="U47" s="155"/>
    </row>
    <row r="48" spans="1:21" outlineLevel="1" x14ac:dyDescent="0.2">
      <c r="B48" s="116" t="s">
        <v>292</v>
      </c>
      <c r="F48" s="156"/>
      <c r="G48" s="166">
        <f>452.79+4908</f>
        <v>5360.79</v>
      </c>
      <c r="H48" s="83">
        <v>880</v>
      </c>
      <c r="I48" s="83">
        <v>1905</v>
      </c>
      <c r="J48" s="83">
        <v>2423</v>
      </c>
      <c r="K48" s="15">
        <v>4316</v>
      </c>
      <c r="L48" s="167">
        <f t="shared" ref="L48:L70" si="24">+H48</f>
        <v>880</v>
      </c>
      <c r="M48" s="148">
        <f t="shared" ref="M48:O70" si="25">IF(I48=0,0,I48-H48)</f>
        <v>1025</v>
      </c>
      <c r="N48" s="148">
        <f t="shared" si="25"/>
        <v>518</v>
      </c>
      <c r="O48" s="148">
        <f t="shared" si="25"/>
        <v>1893</v>
      </c>
      <c r="P48" s="150">
        <f t="shared" ref="P48:P70" si="26">SUM(L48:O48)</f>
        <v>4316</v>
      </c>
      <c r="Q48" s="151">
        <v>4908</v>
      </c>
      <c r="R48" s="152">
        <f t="shared" ref="R48:R70" si="27">P48-Q48</f>
        <v>-592</v>
      </c>
      <c r="S48" s="173">
        <f t="shared" ref="S48:S70" si="28">IF(Q48=0,"",P48/Q48)</f>
        <v>0.87938060309698451</v>
      </c>
      <c r="T48" s="154">
        <f t="shared" ref="T48:T70" si="29">P48-G48</f>
        <v>-1044.79</v>
      </c>
      <c r="U48" s="170">
        <f t="shared" ref="U48:U70" si="30">IF(G48=0,"",P48/G48)</f>
        <v>0.80510521770112242</v>
      </c>
    </row>
    <row r="49" spans="2:21" outlineLevel="1" x14ac:dyDescent="0.2">
      <c r="B49" s="116" t="s">
        <v>293</v>
      </c>
      <c r="F49" s="156" t="s">
        <v>294</v>
      </c>
      <c r="G49" s="166"/>
      <c r="H49" s="83"/>
      <c r="I49" s="83"/>
      <c r="J49" s="83"/>
      <c r="K49" s="15"/>
      <c r="L49" s="167">
        <f t="shared" si="24"/>
        <v>0</v>
      </c>
      <c r="M49" s="148">
        <f t="shared" si="25"/>
        <v>0</v>
      </c>
      <c r="N49" s="148">
        <f t="shared" si="25"/>
        <v>0</v>
      </c>
      <c r="O49" s="148">
        <f t="shared" si="25"/>
        <v>0</v>
      </c>
      <c r="P49" s="150">
        <f t="shared" si="26"/>
        <v>0</v>
      </c>
      <c r="Q49" s="151"/>
      <c r="R49" s="152">
        <f t="shared" si="27"/>
        <v>0</v>
      </c>
      <c r="S49" s="173" t="str">
        <f t="shared" si="28"/>
        <v/>
      </c>
      <c r="T49" s="154">
        <f t="shared" si="29"/>
        <v>0</v>
      </c>
      <c r="U49" s="170" t="str">
        <f t="shared" si="30"/>
        <v/>
      </c>
    </row>
    <row r="50" spans="2:21" outlineLevel="1" x14ac:dyDescent="0.2">
      <c r="B50" s="116" t="s">
        <v>295</v>
      </c>
      <c r="F50" s="156"/>
      <c r="G50" s="166"/>
      <c r="H50" s="85"/>
      <c r="I50" s="83"/>
      <c r="J50" s="83"/>
      <c r="K50" s="15"/>
      <c r="L50" s="167">
        <f t="shared" si="24"/>
        <v>0</v>
      </c>
      <c r="M50" s="148">
        <f t="shared" si="25"/>
        <v>0</v>
      </c>
      <c r="N50" s="148">
        <f t="shared" si="25"/>
        <v>0</v>
      </c>
      <c r="O50" s="148">
        <f t="shared" si="25"/>
        <v>0</v>
      </c>
      <c r="P50" s="150">
        <f t="shared" si="26"/>
        <v>0</v>
      </c>
      <c r="Q50" s="151"/>
      <c r="R50" s="152">
        <f t="shared" si="27"/>
        <v>0</v>
      </c>
      <c r="S50" s="173" t="str">
        <f t="shared" si="28"/>
        <v/>
      </c>
      <c r="T50" s="154">
        <f t="shared" si="29"/>
        <v>0</v>
      </c>
      <c r="U50" s="170" t="str">
        <f t="shared" si="30"/>
        <v/>
      </c>
    </row>
    <row r="51" spans="2:21" outlineLevel="1" x14ac:dyDescent="0.2">
      <c r="B51" s="116" t="s">
        <v>296</v>
      </c>
      <c r="F51" s="156" t="s">
        <v>297</v>
      </c>
      <c r="G51" s="166">
        <v>4070</v>
      </c>
      <c r="H51" s="85">
        <v>172</v>
      </c>
      <c r="I51" s="83">
        <v>2232</v>
      </c>
      <c r="J51" s="83">
        <v>2753</v>
      </c>
      <c r="K51" s="15">
        <v>3478</v>
      </c>
      <c r="L51" s="167">
        <f t="shared" si="24"/>
        <v>172</v>
      </c>
      <c r="M51" s="148">
        <f t="shared" si="25"/>
        <v>2060</v>
      </c>
      <c r="N51" s="148">
        <f t="shared" si="25"/>
        <v>521</v>
      </c>
      <c r="O51" s="148">
        <f t="shared" si="25"/>
        <v>725</v>
      </c>
      <c r="P51" s="150">
        <f t="shared" si="26"/>
        <v>3478</v>
      </c>
      <c r="Q51" s="151">
        <f>400+4070</f>
        <v>4470</v>
      </c>
      <c r="R51" s="152">
        <f t="shared" si="27"/>
        <v>-992</v>
      </c>
      <c r="S51" s="173">
        <f t="shared" si="28"/>
        <v>0.77807606263982099</v>
      </c>
      <c r="T51" s="154">
        <f t="shared" si="29"/>
        <v>-592</v>
      </c>
      <c r="U51" s="170">
        <f t="shared" si="30"/>
        <v>0.8545454545454545</v>
      </c>
    </row>
    <row r="52" spans="2:21" outlineLevel="1" x14ac:dyDescent="0.2">
      <c r="B52" s="116" t="s">
        <v>298</v>
      </c>
      <c r="E52" s="184" t="s">
        <v>412</v>
      </c>
      <c r="F52" s="156"/>
      <c r="G52" s="166">
        <f>G149</f>
        <v>6972</v>
      </c>
      <c r="H52" s="85">
        <f>H149</f>
        <v>1771</v>
      </c>
      <c r="I52" s="85">
        <f>I149</f>
        <v>3514</v>
      </c>
      <c r="J52" s="83">
        <f>J149</f>
        <v>5707</v>
      </c>
      <c r="K52" s="15">
        <f>K149</f>
        <v>8210</v>
      </c>
      <c r="L52" s="167">
        <f t="shared" si="24"/>
        <v>1771</v>
      </c>
      <c r="M52" s="148">
        <f t="shared" si="25"/>
        <v>1743</v>
      </c>
      <c r="N52" s="148">
        <f t="shared" si="25"/>
        <v>2193</v>
      </c>
      <c r="O52" s="148">
        <f t="shared" si="25"/>
        <v>2503</v>
      </c>
      <c r="P52" s="150">
        <f t="shared" si="26"/>
        <v>8210</v>
      </c>
      <c r="Q52" s="151">
        <f>Q149</f>
        <v>6972</v>
      </c>
      <c r="R52" s="152">
        <f t="shared" si="27"/>
        <v>1238</v>
      </c>
      <c r="S52" s="173">
        <f t="shared" si="28"/>
        <v>1.1775674125071716</v>
      </c>
      <c r="T52" s="154">
        <f t="shared" si="29"/>
        <v>1238</v>
      </c>
      <c r="U52" s="170">
        <f t="shared" si="30"/>
        <v>1.1775674125071716</v>
      </c>
    </row>
    <row r="53" spans="2:21" outlineLevel="1" x14ac:dyDescent="0.2">
      <c r="B53" s="116" t="s">
        <v>299</v>
      </c>
      <c r="E53" s="184" t="s">
        <v>412</v>
      </c>
      <c r="F53" s="156"/>
      <c r="G53" s="166">
        <f>G158</f>
        <v>2741.71</v>
      </c>
      <c r="H53" s="85">
        <f>H158</f>
        <v>897</v>
      </c>
      <c r="I53" s="85">
        <f>I158</f>
        <v>1489</v>
      </c>
      <c r="J53" s="83">
        <f>J158</f>
        <v>2399</v>
      </c>
      <c r="K53" s="15">
        <f>K158</f>
        <v>2520</v>
      </c>
      <c r="L53" s="167">
        <f t="shared" si="24"/>
        <v>897</v>
      </c>
      <c r="M53" s="148">
        <f t="shared" si="25"/>
        <v>592</v>
      </c>
      <c r="N53" s="148">
        <f t="shared" si="25"/>
        <v>910</v>
      </c>
      <c r="O53" s="148">
        <f t="shared" si="25"/>
        <v>121</v>
      </c>
      <c r="P53" s="150">
        <f t="shared" si="26"/>
        <v>2520</v>
      </c>
      <c r="Q53" s="151">
        <f>Q158</f>
        <v>2861</v>
      </c>
      <c r="R53" s="152">
        <f t="shared" si="27"/>
        <v>-341</v>
      </c>
      <c r="S53" s="173">
        <f t="shared" si="28"/>
        <v>0.88081090527787487</v>
      </c>
      <c r="T53" s="154">
        <f t="shared" si="29"/>
        <v>-221.71000000000004</v>
      </c>
      <c r="U53" s="170">
        <f t="shared" si="30"/>
        <v>0.91913440881785458</v>
      </c>
    </row>
    <row r="54" spans="2:21" outlineLevel="1" x14ac:dyDescent="0.2">
      <c r="B54" s="116" t="s">
        <v>300</v>
      </c>
      <c r="E54" s="184" t="s">
        <v>412</v>
      </c>
      <c r="F54" s="156"/>
      <c r="G54" s="166">
        <f>G140</f>
        <v>8234</v>
      </c>
      <c r="H54" s="85">
        <f>H140</f>
        <v>0</v>
      </c>
      <c r="I54" s="85">
        <f>I140</f>
        <v>8066</v>
      </c>
      <c r="J54" s="83">
        <f>J140</f>
        <v>8066</v>
      </c>
      <c r="K54" s="15">
        <f>K140</f>
        <v>8066</v>
      </c>
      <c r="L54" s="167">
        <f t="shared" si="24"/>
        <v>0</v>
      </c>
      <c r="M54" s="148">
        <f t="shared" si="25"/>
        <v>8066</v>
      </c>
      <c r="N54" s="148">
        <f t="shared" si="25"/>
        <v>0</v>
      </c>
      <c r="O54" s="148">
        <f t="shared" si="25"/>
        <v>0</v>
      </c>
      <c r="P54" s="150">
        <f t="shared" si="26"/>
        <v>8066</v>
      </c>
      <c r="Q54" s="151">
        <f>Q140</f>
        <v>8234</v>
      </c>
      <c r="R54" s="152">
        <f t="shared" si="27"/>
        <v>-168</v>
      </c>
      <c r="S54" s="173">
        <f t="shared" si="28"/>
        <v>0.97959679378188003</v>
      </c>
      <c r="T54" s="154">
        <f t="shared" si="29"/>
        <v>-168</v>
      </c>
      <c r="U54" s="170">
        <f t="shared" si="30"/>
        <v>0.97959679378188003</v>
      </c>
    </row>
    <row r="55" spans="2:21" outlineLevel="1" x14ac:dyDescent="0.2">
      <c r="B55" s="116" t="s">
        <v>301</v>
      </c>
      <c r="F55" s="156"/>
      <c r="G55" s="166">
        <v>1330</v>
      </c>
      <c r="H55" s="85">
        <v>1401</v>
      </c>
      <c r="I55" s="83">
        <v>1401</v>
      </c>
      <c r="J55" s="83">
        <v>1401</v>
      </c>
      <c r="K55" s="15">
        <v>1401</v>
      </c>
      <c r="L55" s="167">
        <f t="shared" si="24"/>
        <v>1401</v>
      </c>
      <c r="M55" s="148">
        <f t="shared" si="25"/>
        <v>0</v>
      </c>
      <c r="N55" s="148">
        <f t="shared" si="25"/>
        <v>0</v>
      </c>
      <c r="O55" s="148">
        <f t="shared" si="25"/>
        <v>0</v>
      </c>
      <c r="P55" s="150">
        <f t="shared" si="26"/>
        <v>1401</v>
      </c>
      <c r="Q55" s="151">
        <v>1330</v>
      </c>
      <c r="R55" s="152">
        <f t="shared" si="27"/>
        <v>71</v>
      </c>
      <c r="S55" s="173">
        <f t="shared" si="28"/>
        <v>1.0533834586466166</v>
      </c>
      <c r="T55" s="154">
        <f t="shared" si="29"/>
        <v>71</v>
      </c>
      <c r="U55" s="170">
        <f t="shared" si="30"/>
        <v>1.0533834586466166</v>
      </c>
    </row>
    <row r="56" spans="2:21" outlineLevel="1" x14ac:dyDescent="0.2">
      <c r="B56" s="116" t="s">
        <v>152</v>
      </c>
      <c r="F56" s="156">
        <v>8222</v>
      </c>
      <c r="G56" s="166">
        <v>2238</v>
      </c>
      <c r="H56" s="85">
        <v>565</v>
      </c>
      <c r="I56" s="83">
        <v>1156</v>
      </c>
      <c r="J56" s="83">
        <v>1748</v>
      </c>
      <c r="K56" s="15">
        <v>2340</v>
      </c>
      <c r="L56" s="167">
        <f t="shared" si="24"/>
        <v>565</v>
      </c>
      <c r="M56" s="148">
        <f t="shared" si="25"/>
        <v>591</v>
      </c>
      <c r="N56" s="148">
        <f t="shared" si="25"/>
        <v>592</v>
      </c>
      <c r="O56" s="148">
        <f t="shared" si="25"/>
        <v>592</v>
      </c>
      <c r="P56" s="150">
        <f t="shared" si="26"/>
        <v>2340</v>
      </c>
      <c r="Q56" s="151">
        <v>2338</v>
      </c>
      <c r="R56" s="152">
        <f t="shared" si="27"/>
        <v>2</v>
      </c>
      <c r="S56" s="173">
        <f t="shared" si="28"/>
        <v>1.0008554319931566</v>
      </c>
      <c r="T56" s="154">
        <f t="shared" si="29"/>
        <v>102</v>
      </c>
      <c r="U56" s="170">
        <f t="shared" si="30"/>
        <v>1.0455764075067024</v>
      </c>
    </row>
    <row r="57" spans="2:21" outlineLevel="1" x14ac:dyDescent="0.2">
      <c r="B57" s="116" t="s">
        <v>153</v>
      </c>
      <c r="F57" s="156">
        <v>8224</v>
      </c>
      <c r="G57" s="166">
        <v>35</v>
      </c>
      <c r="H57" s="85"/>
      <c r="I57" s="83"/>
      <c r="J57" s="83"/>
      <c r="K57" s="15"/>
      <c r="L57" s="167">
        <f t="shared" si="24"/>
        <v>0</v>
      </c>
      <c r="M57" s="148">
        <f t="shared" si="25"/>
        <v>0</v>
      </c>
      <c r="N57" s="148">
        <f t="shared" si="25"/>
        <v>0</v>
      </c>
      <c r="O57" s="148">
        <f t="shared" si="25"/>
        <v>0</v>
      </c>
      <c r="P57" s="150">
        <f t="shared" si="26"/>
        <v>0</v>
      </c>
      <c r="Q57" s="151">
        <f>66+453</f>
        <v>519</v>
      </c>
      <c r="R57" s="152">
        <f t="shared" si="27"/>
        <v>-519</v>
      </c>
      <c r="S57" s="173">
        <f t="shared" si="28"/>
        <v>0</v>
      </c>
      <c r="T57" s="154">
        <f t="shared" si="29"/>
        <v>-35</v>
      </c>
      <c r="U57" s="170">
        <f t="shared" si="30"/>
        <v>0</v>
      </c>
    </row>
    <row r="58" spans="2:21" outlineLevel="1" x14ac:dyDescent="0.2">
      <c r="B58" s="116" t="s">
        <v>154</v>
      </c>
      <c r="F58" s="156">
        <v>8116</v>
      </c>
      <c r="G58" s="166">
        <v>1649.44</v>
      </c>
      <c r="H58" s="85">
        <v>89</v>
      </c>
      <c r="I58" s="83">
        <v>520</v>
      </c>
      <c r="J58" s="83">
        <v>769</v>
      </c>
      <c r="K58" s="16">
        <v>1513</v>
      </c>
      <c r="L58" s="167">
        <f t="shared" si="24"/>
        <v>89</v>
      </c>
      <c r="M58" s="148">
        <f t="shared" si="25"/>
        <v>431</v>
      </c>
      <c r="N58" s="148">
        <f t="shared" si="25"/>
        <v>249</v>
      </c>
      <c r="O58" s="148">
        <f t="shared" si="25"/>
        <v>744</v>
      </c>
      <c r="P58" s="150">
        <f t="shared" si="26"/>
        <v>1513</v>
      </c>
      <c r="Q58" s="151">
        <v>1649</v>
      </c>
      <c r="R58" s="152">
        <f t="shared" si="27"/>
        <v>-136</v>
      </c>
      <c r="S58" s="173">
        <f t="shared" si="28"/>
        <v>0.91752577319587625</v>
      </c>
      <c r="T58" s="154">
        <f t="shared" si="29"/>
        <v>-136.44000000000005</v>
      </c>
      <c r="U58" s="170">
        <f t="shared" si="30"/>
        <v>0.91728101658744787</v>
      </c>
    </row>
    <row r="59" spans="2:21" outlineLevel="1" x14ac:dyDescent="0.2">
      <c r="B59" s="116" t="s">
        <v>155</v>
      </c>
      <c r="F59" s="156">
        <v>8540</v>
      </c>
      <c r="G59" s="166">
        <v>182</v>
      </c>
      <c r="H59" s="85">
        <v>98</v>
      </c>
      <c r="I59" s="83">
        <v>98</v>
      </c>
      <c r="J59" s="83">
        <v>174</v>
      </c>
      <c r="K59" s="15">
        <v>200</v>
      </c>
      <c r="L59" s="167">
        <f t="shared" si="24"/>
        <v>98</v>
      </c>
      <c r="M59" s="148">
        <f t="shared" si="25"/>
        <v>0</v>
      </c>
      <c r="N59" s="148">
        <f t="shared" si="25"/>
        <v>76</v>
      </c>
      <c r="O59" s="148">
        <f t="shared" si="25"/>
        <v>26</v>
      </c>
      <c r="P59" s="150">
        <f t="shared" si="26"/>
        <v>200</v>
      </c>
      <c r="Q59" s="151">
        <v>182</v>
      </c>
      <c r="R59" s="152">
        <f t="shared" si="27"/>
        <v>18</v>
      </c>
      <c r="S59" s="173">
        <f t="shared" si="28"/>
        <v>1.098901098901099</v>
      </c>
      <c r="T59" s="154">
        <f t="shared" si="29"/>
        <v>18</v>
      </c>
      <c r="U59" s="170">
        <f t="shared" si="30"/>
        <v>1.098901098901099</v>
      </c>
    </row>
    <row r="60" spans="2:21" outlineLevel="1" x14ac:dyDescent="0.2">
      <c r="B60" s="116" t="s">
        <v>156</v>
      </c>
      <c r="F60" s="156">
        <v>8117</v>
      </c>
      <c r="G60" s="166"/>
      <c r="H60" s="85"/>
      <c r="I60" s="83"/>
      <c r="J60" s="83"/>
      <c r="K60" s="15"/>
      <c r="L60" s="167">
        <f t="shared" si="24"/>
        <v>0</v>
      </c>
      <c r="M60" s="148">
        <f t="shared" si="25"/>
        <v>0</v>
      </c>
      <c r="N60" s="148">
        <f t="shared" si="25"/>
        <v>0</v>
      </c>
      <c r="O60" s="148">
        <f t="shared" si="25"/>
        <v>0</v>
      </c>
      <c r="P60" s="150">
        <f t="shared" si="26"/>
        <v>0</v>
      </c>
      <c r="Q60" s="151"/>
      <c r="R60" s="152">
        <f t="shared" si="27"/>
        <v>0</v>
      </c>
      <c r="S60" s="173" t="str">
        <f t="shared" si="28"/>
        <v/>
      </c>
      <c r="T60" s="154">
        <f t="shared" si="29"/>
        <v>0</v>
      </c>
      <c r="U60" s="170" t="str">
        <f t="shared" si="30"/>
        <v/>
      </c>
    </row>
    <row r="61" spans="2:21" outlineLevel="1" x14ac:dyDescent="0.2">
      <c r="B61" s="116" t="s">
        <v>157</v>
      </c>
      <c r="F61" s="156" t="s">
        <v>158</v>
      </c>
      <c r="G61" s="166"/>
      <c r="H61" s="85"/>
      <c r="I61" s="83"/>
      <c r="J61" s="83"/>
      <c r="K61" s="15"/>
      <c r="L61" s="167">
        <f t="shared" si="24"/>
        <v>0</v>
      </c>
      <c r="M61" s="148">
        <f t="shared" si="25"/>
        <v>0</v>
      </c>
      <c r="N61" s="148">
        <f t="shared" si="25"/>
        <v>0</v>
      </c>
      <c r="O61" s="148">
        <f t="shared" si="25"/>
        <v>0</v>
      </c>
      <c r="P61" s="150">
        <f t="shared" si="26"/>
        <v>0</v>
      </c>
      <c r="Q61" s="151"/>
      <c r="R61" s="152">
        <f t="shared" si="27"/>
        <v>0</v>
      </c>
      <c r="S61" s="173" t="str">
        <f t="shared" si="28"/>
        <v/>
      </c>
      <c r="T61" s="154">
        <f t="shared" si="29"/>
        <v>0</v>
      </c>
      <c r="U61" s="170" t="str">
        <f t="shared" si="30"/>
        <v/>
      </c>
    </row>
    <row r="62" spans="2:21" outlineLevel="1" x14ac:dyDescent="0.2">
      <c r="B62" s="116" t="s">
        <v>159</v>
      </c>
      <c r="F62" s="156">
        <v>8231</v>
      </c>
      <c r="G62" s="166">
        <v>5494</v>
      </c>
      <c r="H62" s="85"/>
      <c r="I62" s="83"/>
      <c r="J62" s="83">
        <v>5821</v>
      </c>
      <c r="K62" s="15">
        <v>5821</v>
      </c>
      <c r="L62" s="167">
        <f t="shared" si="24"/>
        <v>0</v>
      </c>
      <c r="M62" s="148">
        <f t="shared" si="25"/>
        <v>0</v>
      </c>
      <c r="N62" s="148">
        <f t="shared" si="25"/>
        <v>5821</v>
      </c>
      <c r="O62" s="148">
        <f t="shared" si="25"/>
        <v>0</v>
      </c>
      <c r="P62" s="150">
        <f t="shared" si="26"/>
        <v>5821</v>
      </c>
      <c r="Q62" s="151">
        <v>5494</v>
      </c>
      <c r="R62" s="152">
        <f t="shared" si="27"/>
        <v>327</v>
      </c>
      <c r="S62" s="173">
        <f t="shared" si="28"/>
        <v>1.0595194757917727</v>
      </c>
      <c r="T62" s="154">
        <f t="shared" si="29"/>
        <v>327</v>
      </c>
      <c r="U62" s="170">
        <f t="shared" si="30"/>
        <v>1.0595194757917727</v>
      </c>
    </row>
    <row r="63" spans="2:21" outlineLevel="1" x14ac:dyDescent="0.2">
      <c r="B63" s="116" t="s">
        <v>160</v>
      </c>
      <c r="F63" s="156"/>
      <c r="G63" s="166"/>
      <c r="H63" s="85"/>
      <c r="I63" s="83"/>
      <c r="J63" s="83"/>
      <c r="K63" s="15"/>
      <c r="L63" s="167">
        <f t="shared" si="24"/>
        <v>0</v>
      </c>
      <c r="M63" s="148">
        <f t="shared" si="25"/>
        <v>0</v>
      </c>
      <c r="N63" s="148">
        <f t="shared" si="25"/>
        <v>0</v>
      </c>
      <c r="O63" s="148">
        <f t="shared" si="25"/>
        <v>0</v>
      </c>
      <c r="P63" s="150">
        <f t="shared" si="26"/>
        <v>0</v>
      </c>
      <c r="Q63" s="151"/>
      <c r="R63" s="152">
        <f t="shared" si="27"/>
        <v>0</v>
      </c>
      <c r="S63" s="173" t="str">
        <f t="shared" si="28"/>
        <v/>
      </c>
      <c r="T63" s="154">
        <f t="shared" si="29"/>
        <v>0</v>
      </c>
      <c r="U63" s="170" t="str">
        <f t="shared" si="30"/>
        <v/>
      </c>
    </row>
    <row r="64" spans="2:21" outlineLevel="1" x14ac:dyDescent="0.2">
      <c r="B64" s="116" t="s">
        <v>161</v>
      </c>
      <c r="F64" s="156"/>
      <c r="G64" s="166"/>
      <c r="H64" s="85"/>
      <c r="I64" s="83"/>
      <c r="J64" s="83"/>
      <c r="K64" s="15"/>
      <c r="L64" s="167">
        <f t="shared" si="24"/>
        <v>0</v>
      </c>
      <c r="M64" s="148">
        <f t="shared" si="25"/>
        <v>0</v>
      </c>
      <c r="N64" s="148">
        <f t="shared" si="25"/>
        <v>0</v>
      </c>
      <c r="O64" s="148">
        <f t="shared" si="25"/>
        <v>0</v>
      </c>
      <c r="P64" s="150">
        <f t="shared" si="26"/>
        <v>0</v>
      </c>
      <c r="Q64" s="151"/>
      <c r="R64" s="152">
        <f t="shared" si="27"/>
        <v>0</v>
      </c>
      <c r="S64" s="173" t="str">
        <f t="shared" si="28"/>
        <v/>
      </c>
      <c r="T64" s="154">
        <f t="shared" si="29"/>
        <v>0</v>
      </c>
      <c r="U64" s="170" t="str">
        <f t="shared" si="30"/>
        <v/>
      </c>
    </row>
    <row r="65" spans="1:21" outlineLevel="1" x14ac:dyDescent="0.2">
      <c r="B65" s="116" t="s">
        <v>162</v>
      </c>
      <c r="F65" s="156">
        <v>8232</v>
      </c>
      <c r="G65" s="166"/>
      <c r="H65" s="85"/>
      <c r="I65" s="83"/>
      <c r="J65" s="83"/>
      <c r="K65" s="15"/>
      <c r="L65" s="167">
        <f t="shared" si="24"/>
        <v>0</v>
      </c>
      <c r="M65" s="148">
        <f t="shared" si="25"/>
        <v>0</v>
      </c>
      <c r="N65" s="148">
        <f t="shared" si="25"/>
        <v>0</v>
      </c>
      <c r="O65" s="148">
        <f t="shared" si="25"/>
        <v>0</v>
      </c>
      <c r="P65" s="150">
        <f t="shared" si="26"/>
        <v>0</v>
      </c>
      <c r="Q65" s="151"/>
      <c r="R65" s="152">
        <f t="shared" si="27"/>
        <v>0</v>
      </c>
      <c r="S65" s="173" t="str">
        <f t="shared" si="28"/>
        <v/>
      </c>
      <c r="T65" s="154">
        <f t="shared" si="29"/>
        <v>0</v>
      </c>
      <c r="U65" s="170" t="str">
        <f t="shared" si="30"/>
        <v/>
      </c>
    </row>
    <row r="66" spans="1:21" outlineLevel="1" x14ac:dyDescent="0.2">
      <c r="B66" s="116" t="s">
        <v>163</v>
      </c>
      <c r="F66" s="156"/>
      <c r="G66" s="166"/>
      <c r="H66" s="85"/>
      <c r="I66" s="83"/>
      <c r="J66" s="83"/>
      <c r="K66" s="15"/>
      <c r="L66" s="167">
        <f t="shared" si="24"/>
        <v>0</v>
      </c>
      <c r="M66" s="148">
        <f t="shared" si="25"/>
        <v>0</v>
      </c>
      <c r="N66" s="148">
        <f t="shared" si="25"/>
        <v>0</v>
      </c>
      <c r="O66" s="148">
        <f t="shared" si="25"/>
        <v>0</v>
      </c>
      <c r="P66" s="150">
        <f t="shared" si="26"/>
        <v>0</v>
      </c>
      <c r="Q66" s="151"/>
      <c r="R66" s="152">
        <f t="shared" si="27"/>
        <v>0</v>
      </c>
      <c r="S66" s="173" t="str">
        <f t="shared" si="28"/>
        <v/>
      </c>
      <c r="T66" s="154">
        <f t="shared" si="29"/>
        <v>0</v>
      </c>
      <c r="U66" s="170" t="str">
        <f t="shared" si="30"/>
        <v/>
      </c>
    </row>
    <row r="67" spans="1:21" outlineLevel="1" x14ac:dyDescent="0.2">
      <c r="B67" s="116" t="s">
        <v>164</v>
      </c>
      <c r="F67" s="156"/>
      <c r="G67" s="166"/>
      <c r="H67" s="85"/>
      <c r="I67" s="83"/>
      <c r="J67" s="83"/>
      <c r="K67" s="15"/>
      <c r="L67" s="167">
        <f t="shared" si="24"/>
        <v>0</v>
      </c>
      <c r="M67" s="148">
        <f t="shared" si="25"/>
        <v>0</v>
      </c>
      <c r="N67" s="148">
        <f t="shared" si="25"/>
        <v>0</v>
      </c>
      <c r="O67" s="148">
        <f t="shared" si="25"/>
        <v>0</v>
      </c>
      <c r="P67" s="150">
        <f t="shared" si="26"/>
        <v>0</v>
      </c>
      <c r="Q67" s="151"/>
      <c r="R67" s="152">
        <f t="shared" si="27"/>
        <v>0</v>
      </c>
      <c r="S67" s="173" t="str">
        <f t="shared" si="28"/>
        <v/>
      </c>
      <c r="T67" s="154">
        <f t="shared" si="29"/>
        <v>0</v>
      </c>
      <c r="U67" s="170" t="str">
        <f t="shared" si="30"/>
        <v/>
      </c>
    </row>
    <row r="68" spans="1:21" outlineLevel="1" x14ac:dyDescent="0.2">
      <c r="B68" s="116" t="s">
        <v>165</v>
      </c>
      <c r="E68" s="184" t="s">
        <v>412</v>
      </c>
      <c r="F68" s="156"/>
      <c r="G68" s="166">
        <f>G167</f>
        <v>700.39</v>
      </c>
      <c r="H68" s="85">
        <v>197</v>
      </c>
      <c r="I68" s="85">
        <f>I167</f>
        <v>306</v>
      </c>
      <c r="J68" s="83">
        <f>J167</f>
        <v>428</v>
      </c>
      <c r="K68" s="15">
        <f>K167</f>
        <v>1206</v>
      </c>
      <c r="L68" s="167">
        <f t="shared" si="24"/>
        <v>197</v>
      </c>
      <c r="M68" s="148">
        <f t="shared" si="25"/>
        <v>109</v>
      </c>
      <c r="N68" s="148">
        <f t="shared" si="25"/>
        <v>122</v>
      </c>
      <c r="O68" s="148">
        <f t="shared" si="25"/>
        <v>778</v>
      </c>
      <c r="P68" s="150">
        <f t="shared" si="26"/>
        <v>1206</v>
      </c>
      <c r="Q68" s="151">
        <f>Q167</f>
        <v>700</v>
      </c>
      <c r="R68" s="152">
        <f t="shared" si="27"/>
        <v>506</v>
      </c>
      <c r="S68" s="173">
        <f t="shared" si="28"/>
        <v>1.7228571428571429</v>
      </c>
      <c r="T68" s="154">
        <f t="shared" si="29"/>
        <v>505.61</v>
      </c>
      <c r="U68" s="170">
        <f t="shared" si="30"/>
        <v>1.7218977997972558</v>
      </c>
    </row>
    <row r="69" spans="1:21" outlineLevel="1" x14ac:dyDescent="0.2">
      <c r="B69" s="116" t="s">
        <v>166</v>
      </c>
      <c r="F69" s="156"/>
      <c r="G69" s="166"/>
      <c r="H69" s="85"/>
      <c r="I69" s="83"/>
      <c r="J69" s="83"/>
      <c r="K69" s="15"/>
      <c r="L69" s="167">
        <f t="shared" si="24"/>
        <v>0</v>
      </c>
      <c r="M69" s="148">
        <f t="shared" si="25"/>
        <v>0</v>
      </c>
      <c r="N69" s="148">
        <f t="shared" si="25"/>
        <v>0</v>
      </c>
      <c r="O69" s="148">
        <f t="shared" si="25"/>
        <v>0</v>
      </c>
      <c r="P69" s="150">
        <f t="shared" si="26"/>
        <v>0</v>
      </c>
      <c r="Q69" s="151"/>
      <c r="R69" s="152">
        <f t="shared" si="27"/>
        <v>0</v>
      </c>
      <c r="S69" s="173" t="str">
        <f t="shared" si="28"/>
        <v/>
      </c>
      <c r="T69" s="154">
        <f t="shared" si="29"/>
        <v>0</v>
      </c>
      <c r="U69" s="170" t="str">
        <f t="shared" si="30"/>
        <v/>
      </c>
    </row>
    <row r="70" spans="1:21" outlineLevel="1" x14ac:dyDescent="0.2">
      <c r="B70" s="116" t="s">
        <v>167</v>
      </c>
      <c r="F70" s="156"/>
      <c r="G70" s="166"/>
      <c r="H70" s="85"/>
      <c r="I70" s="83"/>
      <c r="J70" s="83"/>
      <c r="K70" s="15"/>
      <c r="L70" s="167">
        <f t="shared" si="24"/>
        <v>0</v>
      </c>
      <c r="M70" s="148">
        <f t="shared" si="25"/>
        <v>0</v>
      </c>
      <c r="N70" s="148">
        <f t="shared" si="25"/>
        <v>0</v>
      </c>
      <c r="O70" s="148">
        <f t="shared" si="25"/>
        <v>0</v>
      </c>
      <c r="P70" s="150">
        <f t="shared" si="26"/>
        <v>0</v>
      </c>
      <c r="Q70" s="151"/>
      <c r="R70" s="152">
        <f t="shared" si="27"/>
        <v>0</v>
      </c>
      <c r="S70" s="173" t="str">
        <f t="shared" si="28"/>
        <v/>
      </c>
      <c r="T70" s="154">
        <f t="shared" si="29"/>
        <v>0</v>
      </c>
      <c r="U70" s="170" t="str">
        <f t="shared" si="30"/>
        <v/>
      </c>
    </row>
    <row r="71" spans="1:21" outlineLevel="1" x14ac:dyDescent="0.2">
      <c r="F71" s="156"/>
      <c r="G71" s="166"/>
      <c r="H71" s="85"/>
      <c r="I71" s="83"/>
      <c r="J71" s="83"/>
      <c r="K71" s="15"/>
      <c r="L71" s="167"/>
      <c r="M71" s="148"/>
      <c r="N71" s="148"/>
      <c r="O71" s="148"/>
      <c r="P71" s="150"/>
      <c r="Q71" s="151"/>
      <c r="R71" s="152"/>
      <c r="S71" s="173"/>
      <c r="T71" s="154"/>
      <c r="U71" s="170"/>
    </row>
    <row r="72" spans="1:21" outlineLevel="1" x14ac:dyDescent="0.2">
      <c r="B72" s="116" t="s">
        <v>168</v>
      </c>
      <c r="F72" s="156" t="s">
        <v>169</v>
      </c>
      <c r="G72" s="166"/>
      <c r="H72" s="87"/>
      <c r="I72" s="83"/>
      <c r="J72" s="83"/>
      <c r="K72" s="16"/>
      <c r="L72" s="167">
        <f>+H72</f>
        <v>0</v>
      </c>
      <c r="M72" s="148">
        <f t="shared" ref="M72:O74" si="31">IF(I72=0,0,I72-H72)</f>
        <v>0</v>
      </c>
      <c r="N72" s="148">
        <f t="shared" si="31"/>
        <v>0</v>
      </c>
      <c r="O72" s="148">
        <f t="shared" si="31"/>
        <v>0</v>
      </c>
      <c r="P72" s="150">
        <f>SUM(L72:O72)</f>
        <v>0</v>
      </c>
      <c r="Q72" s="151"/>
      <c r="R72" s="152">
        <f>P72-Q72</f>
        <v>0</v>
      </c>
      <c r="S72" s="173" t="str">
        <f>IF(Q72=0,"",P72/Q72)</f>
        <v/>
      </c>
      <c r="T72" s="154">
        <f>P72-G72</f>
        <v>0</v>
      </c>
      <c r="U72" s="170" t="str">
        <f>IF(G72=0,"",P72/G72)</f>
        <v/>
      </c>
    </row>
    <row r="73" spans="1:21" outlineLevel="1" x14ac:dyDescent="0.2">
      <c r="F73" s="156"/>
      <c r="G73" s="166"/>
      <c r="H73" s="85"/>
      <c r="I73" s="83"/>
      <c r="J73" s="83"/>
      <c r="K73" s="15"/>
      <c r="L73" s="167">
        <f>+H73</f>
        <v>0</v>
      </c>
      <c r="M73" s="148">
        <f t="shared" si="31"/>
        <v>0</v>
      </c>
      <c r="N73" s="148">
        <f t="shared" si="31"/>
        <v>0</v>
      </c>
      <c r="O73" s="148">
        <f t="shared" si="31"/>
        <v>0</v>
      </c>
      <c r="P73" s="150">
        <f>SUM(L73:O73)</f>
        <v>0</v>
      </c>
      <c r="Q73" s="151"/>
      <c r="R73" s="152">
        <f>P73-Q73</f>
        <v>0</v>
      </c>
      <c r="S73" s="173" t="str">
        <f>IF(Q73=0,"",P73/Q73)</f>
        <v/>
      </c>
      <c r="T73" s="154">
        <f>P73-G73</f>
        <v>0</v>
      </c>
      <c r="U73" s="170" t="str">
        <f>IF(G73=0,"",P73/G73)</f>
        <v/>
      </c>
    </row>
    <row r="74" spans="1:21" outlineLevel="1" x14ac:dyDescent="0.2">
      <c r="F74" s="156"/>
      <c r="G74" s="166"/>
      <c r="H74" s="85"/>
      <c r="I74" s="83"/>
      <c r="J74" s="83"/>
      <c r="K74" s="15"/>
      <c r="L74" s="167">
        <f>+H74</f>
        <v>0</v>
      </c>
      <c r="M74" s="148">
        <f t="shared" si="31"/>
        <v>0</v>
      </c>
      <c r="N74" s="148">
        <f t="shared" si="31"/>
        <v>0</v>
      </c>
      <c r="O74" s="148">
        <f t="shared" si="31"/>
        <v>0</v>
      </c>
      <c r="P74" s="150">
        <f>SUM(L74:O74)</f>
        <v>0</v>
      </c>
      <c r="Q74" s="151"/>
      <c r="R74" s="152">
        <f>P74-Q74</f>
        <v>0</v>
      </c>
      <c r="S74" s="173" t="str">
        <f>IF(Q74=0,"",P74/Q74)</f>
        <v/>
      </c>
      <c r="T74" s="154">
        <f>P74-G74</f>
        <v>0</v>
      </c>
      <c r="U74" s="170" t="str">
        <f>IF(G74=0,"",P74/G74)</f>
        <v/>
      </c>
    </row>
    <row r="75" spans="1:21" outlineLevel="1" x14ac:dyDescent="0.2">
      <c r="F75" s="156"/>
      <c r="G75" s="166"/>
      <c r="H75" s="85"/>
      <c r="I75" s="83"/>
      <c r="J75" s="83"/>
      <c r="K75" s="15"/>
      <c r="L75" s="167"/>
      <c r="M75" s="148"/>
      <c r="N75" s="148"/>
      <c r="O75" s="148"/>
      <c r="P75" s="150"/>
      <c r="Q75" s="151"/>
      <c r="R75" s="152"/>
      <c r="S75" s="173" t="str">
        <f>IF(Q75=0,"",P75/Q75)</f>
        <v/>
      </c>
      <c r="T75" s="154"/>
      <c r="U75" s="170" t="str">
        <f>IF(G75=0,"",P75/G75)</f>
        <v/>
      </c>
    </row>
    <row r="76" spans="1:21" x14ac:dyDescent="0.2">
      <c r="A76" s="118" t="s">
        <v>45</v>
      </c>
      <c r="F76" s="156"/>
      <c r="G76" s="175">
        <f>SUM(G48:G75)</f>
        <v>39007.33</v>
      </c>
      <c r="H76" s="86">
        <f>SUM(H48:H75)</f>
        <v>6070</v>
      </c>
      <c r="I76" s="86">
        <f>SUM(I48:I75)</f>
        <v>20687</v>
      </c>
      <c r="J76" s="86">
        <f>SUM(J48:J75)</f>
        <v>31689</v>
      </c>
      <c r="K76" s="291">
        <f>SUM(K48:K75)</f>
        <v>39071</v>
      </c>
      <c r="L76" s="177">
        <f t="shared" ref="L76:R76" si="32">SUM(L48:L75)</f>
        <v>6070</v>
      </c>
      <c r="M76" s="176">
        <f t="shared" si="32"/>
        <v>14617</v>
      </c>
      <c r="N76" s="176">
        <f t="shared" si="32"/>
        <v>11002</v>
      </c>
      <c r="O76" s="176">
        <f t="shared" si="32"/>
        <v>7382</v>
      </c>
      <c r="P76" s="178">
        <f t="shared" si="32"/>
        <v>39071</v>
      </c>
      <c r="Q76" s="179">
        <f t="shared" si="32"/>
        <v>39657</v>
      </c>
      <c r="R76" s="180">
        <f t="shared" si="32"/>
        <v>-586</v>
      </c>
      <c r="S76" s="181">
        <f>IF(Q76=0,"",P76/Q76)</f>
        <v>0.98522328970925688</v>
      </c>
      <c r="T76" s="182">
        <f>SUM(T48:T75)</f>
        <v>63.669999999999959</v>
      </c>
      <c r="U76" s="185">
        <f>IF(G76=0,"",P76/G76)</f>
        <v>1.001632257321893</v>
      </c>
    </row>
    <row r="77" spans="1:21" x14ac:dyDescent="0.2">
      <c r="F77" s="156"/>
      <c r="G77" s="166"/>
      <c r="H77" s="83"/>
      <c r="I77" s="83"/>
      <c r="J77" s="83"/>
      <c r="K77" s="15"/>
      <c r="L77" s="167"/>
      <c r="M77" s="148"/>
      <c r="N77" s="148"/>
      <c r="O77" s="148"/>
      <c r="P77" s="150"/>
      <c r="Q77" s="151"/>
      <c r="R77" s="152"/>
      <c r="S77" s="173"/>
      <c r="T77" s="154"/>
      <c r="U77" s="170"/>
    </row>
    <row r="78" spans="1:21" ht="13.2" thickBot="1" x14ac:dyDescent="0.25">
      <c r="A78" s="118" t="s">
        <v>171</v>
      </c>
      <c r="F78" s="156"/>
      <c r="G78" s="186">
        <f>G45-G76</f>
        <v>2560.4499999999971</v>
      </c>
      <c r="H78" s="88">
        <f>H45-H76</f>
        <v>4392</v>
      </c>
      <c r="I78" s="88">
        <f>I45-I76</f>
        <v>6396</v>
      </c>
      <c r="J78" s="88">
        <f>J45-J76</f>
        <v>2456</v>
      </c>
      <c r="K78" s="292">
        <f>K45-K76</f>
        <v>1370</v>
      </c>
      <c r="L78" s="188">
        <f t="shared" ref="L78:R78" si="33">L45-L76</f>
        <v>4392</v>
      </c>
      <c r="M78" s="187">
        <f t="shared" si="33"/>
        <v>2004</v>
      </c>
      <c r="N78" s="187">
        <f t="shared" si="33"/>
        <v>-3940</v>
      </c>
      <c r="O78" s="187">
        <f t="shared" si="33"/>
        <v>-1086</v>
      </c>
      <c r="P78" s="189">
        <f t="shared" si="33"/>
        <v>1370</v>
      </c>
      <c r="Q78" s="190">
        <f>Q45-Q76</f>
        <v>1910</v>
      </c>
      <c r="R78" s="191">
        <f t="shared" si="33"/>
        <v>-540</v>
      </c>
      <c r="S78" s="192">
        <f>IF(Q78=0,"",P78/Q78)</f>
        <v>0.7172774869109948</v>
      </c>
      <c r="T78" s="193">
        <f>T45-T76</f>
        <v>-1190.4499999999998</v>
      </c>
      <c r="U78" s="194">
        <f>IF(G78=0,"",P78/G78)</f>
        <v>0.53506219609834271</v>
      </c>
    </row>
    <row r="79" spans="1:21" x14ac:dyDescent="0.2">
      <c r="F79" s="195"/>
      <c r="G79" s="166"/>
      <c r="H79" s="83"/>
      <c r="I79" s="83"/>
      <c r="J79" s="83"/>
      <c r="K79" s="15"/>
      <c r="L79" s="167"/>
      <c r="M79" s="148"/>
      <c r="N79" s="148"/>
      <c r="O79" s="148"/>
      <c r="P79" s="150"/>
      <c r="Q79" s="151"/>
      <c r="R79" s="152"/>
      <c r="S79" s="153"/>
      <c r="T79" s="154"/>
      <c r="U79" s="155"/>
    </row>
    <row r="80" spans="1:21" x14ac:dyDescent="0.2">
      <c r="A80" s="118" t="s">
        <v>172</v>
      </c>
      <c r="F80" s="195"/>
      <c r="G80" s="157">
        <f t="shared" ref="G80:Q80" si="34">SUM(G81:G84)</f>
        <v>45.65</v>
      </c>
      <c r="H80" s="84">
        <f t="shared" si="34"/>
        <v>11</v>
      </c>
      <c r="I80" s="84">
        <f>SUM(I81:I84)</f>
        <v>34</v>
      </c>
      <c r="J80" s="84">
        <f t="shared" ref="J80:K80" si="35">SUM(J81:J84)</f>
        <v>34</v>
      </c>
      <c r="K80" s="290">
        <f t="shared" si="35"/>
        <v>46</v>
      </c>
      <c r="L80" s="159">
        <f t="shared" si="34"/>
        <v>11</v>
      </c>
      <c r="M80" s="158">
        <f t="shared" si="34"/>
        <v>23</v>
      </c>
      <c r="N80" s="158">
        <f t="shared" si="34"/>
        <v>0</v>
      </c>
      <c r="O80" s="158">
        <f t="shared" si="34"/>
        <v>12</v>
      </c>
      <c r="P80" s="160">
        <f t="shared" si="34"/>
        <v>46</v>
      </c>
      <c r="Q80" s="161">
        <f t="shared" si="34"/>
        <v>46</v>
      </c>
      <c r="R80" s="162">
        <f>SUM(R82:R85)</f>
        <v>0</v>
      </c>
      <c r="S80" s="171">
        <f t="shared" ref="S80:S86" si="36">IF(Q80=0,"",P80/Q80)</f>
        <v>1</v>
      </c>
      <c r="T80" s="164">
        <f>SUM(T82:T85)</f>
        <v>0.35000000000000142</v>
      </c>
      <c r="U80" s="227">
        <f t="shared" ref="U80:U86" si="37">IF(G80=0,"",P80/G80)</f>
        <v>1.0076670317634173</v>
      </c>
    </row>
    <row r="81" spans="1:21" outlineLevel="1" x14ac:dyDescent="0.2">
      <c r="B81" s="116" t="s">
        <v>173</v>
      </c>
      <c r="F81" s="195"/>
      <c r="G81" s="166"/>
      <c r="H81" s="83"/>
      <c r="I81" s="83"/>
      <c r="J81" s="83"/>
      <c r="K81" s="15"/>
      <c r="L81" s="167"/>
      <c r="M81" s="148"/>
      <c r="N81" s="148"/>
      <c r="O81" s="148"/>
      <c r="P81" s="150"/>
      <c r="Q81" s="151"/>
      <c r="R81" s="152"/>
      <c r="S81" s="173" t="str">
        <f t="shared" si="36"/>
        <v/>
      </c>
      <c r="T81" s="154"/>
      <c r="U81" s="170" t="str">
        <f t="shared" si="37"/>
        <v/>
      </c>
    </row>
    <row r="82" spans="1:21" outlineLevel="1" x14ac:dyDescent="0.2">
      <c r="C82" s="116" t="s">
        <v>174</v>
      </c>
      <c r="F82" s="195"/>
      <c r="G82" s="166"/>
      <c r="H82" s="83"/>
      <c r="I82" s="83"/>
      <c r="J82" s="83"/>
      <c r="K82" s="15"/>
      <c r="L82" s="167">
        <f>+H82</f>
        <v>0</v>
      </c>
      <c r="M82" s="148">
        <f t="shared" ref="M82:O84" si="38">IF(I82=0,0,I82-H82)</f>
        <v>0</v>
      </c>
      <c r="N82" s="148">
        <f t="shared" si="38"/>
        <v>0</v>
      </c>
      <c r="O82" s="148">
        <f t="shared" si="38"/>
        <v>0</v>
      </c>
      <c r="P82" s="150">
        <f>SUM(L82:O82)</f>
        <v>0</v>
      </c>
      <c r="Q82" s="151"/>
      <c r="R82" s="152">
        <f>P82-Q82</f>
        <v>0</v>
      </c>
      <c r="S82" s="173" t="str">
        <f t="shared" si="36"/>
        <v/>
      </c>
      <c r="T82" s="154">
        <f>P82-G82</f>
        <v>0</v>
      </c>
      <c r="U82" s="170" t="str">
        <f t="shared" si="37"/>
        <v/>
      </c>
    </row>
    <row r="83" spans="1:21" outlineLevel="1" x14ac:dyDescent="0.2">
      <c r="B83" s="116" t="s">
        <v>175</v>
      </c>
      <c r="F83" s="195">
        <v>5310</v>
      </c>
      <c r="G83" s="166">
        <v>45.65</v>
      </c>
      <c r="H83" s="83">
        <v>11</v>
      </c>
      <c r="I83" s="83">
        <v>34</v>
      </c>
      <c r="J83" s="83">
        <v>34</v>
      </c>
      <c r="K83" s="15">
        <v>46</v>
      </c>
      <c r="L83" s="167">
        <f>+H83</f>
        <v>11</v>
      </c>
      <c r="M83" s="148">
        <f t="shared" si="38"/>
        <v>23</v>
      </c>
      <c r="N83" s="148">
        <f t="shared" si="38"/>
        <v>0</v>
      </c>
      <c r="O83" s="148">
        <f t="shared" si="38"/>
        <v>12</v>
      </c>
      <c r="P83" s="150">
        <f>SUM(L83:O83)</f>
        <v>46</v>
      </c>
      <c r="Q83" s="151">
        <v>46</v>
      </c>
      <c r="R83" s="152">
        <f>P83-Q83</f>
        <v>0</v>
      </c>
      <c r="S83" s="173">
        <f t="shared" si="36"/>
        <v>1</v>
      </c>
      <c r="T83" s="154">
        <f>P83-G83</f>
        <v>0.35000000000000142</v>
      </c>
      <c r="U83" s="170">
        <f t="shared" si="37"/>
        <v>1.0076670317634173</v>
      </c>
    </row>
    <row r="84" spans="1:21" outlineLevel="1" x14ac:dyDescent="0.2">
      <c r="F84" s="195"/>
      <c r="G84" s="166"/>
      <c r="H84" s="83"/>
      <c r="I84" s="83"/>
      <c r="J84" s="83"/>
      <c r="K84" s="15"/>
      <c r="L84" s="167">
        <f>+H84</f>
        <v>0</v>
      </c>
      <c r="M84" s="148">
        <f t="shared" si="38"/>
        <v>0</v>
      </c>
      <c r="N84" s="148">
        <f t="shared" si="38"/>
        <v>0</v>
      </c>
      <c r="O84" s="148">
        <f t="shared" si="38"/>
        <v>0</v>
      </c>
      <c r="P84" s="150">
        <f>SUM(L84:O84)</f>
        <v>0</v>
      </c>
      <c r="Q84" s="151"/>
      <c r="R84" s="152">
        <f>P84-Q84</f>
        <v>0</v>
      </c>
      <c r="S84" s="173" t="str">
        <f t="shared" si="36"/>
        <v/>
      </c>
      <c r="T84" s="154">
        <f>P84-G84</f>
        <v>0</v>
      </c>
      <c r="U84" s="170" t="str">
        <f t="shared" si="37"/>
        <v/>
      </c>
    </row>
    <row r="85" spans="1:21" x14ac:dyDescent="0.2">
      <c r="F85" s="195"/>
      <c r="G85" s="166"/>
      <c r="H85" s="83"/>
      <c r="I85" s="83"/>
      <c r="J85" s="83"/>
      <c r="K85" s="15"/>
      <c r="L85" s="167"/>
      <c r="M85" s="148"/>
      <c r="N85" s="148"/>
      <c r="O85" s="148"/>
      <c r="P85" s="150"/>
      <c r="Q85" s="151"/>
      <c r="R85" s="152"/>
      <c r="S85" s="173" t="str">
        <f t="shared" si="36"/>
        <v/>
      </c>
      <c r="T85" s="154"/>
      <c r="U85" s="170" t="str">
        <f t="shared" si="37"/>
        <v/>
      </c>
    </row>
    <row r="86" spans="1:21" x14ac:dyDescent="0.2">
      <c r="A86" s="118" t="s">
        <v>176</v>
      </c>
      <c r="F86" s="195"/>
      <c r="G86" s="157"/>
      <c r="H86" s="84"/>
      <c r="I86" s="84"/>
      <c r="J86" s="84"/>
      <c r="K86" s="290"/>
      <c r="L86" s="159"/>
      <c r="M86" s="158"/>
      <c r="N86" s="158"/>
      <c r="O86" s="158"/>
      <c r="P86" s="160">
        <f>SUM(L86:O86)</f>
        <v>0</v>
      </c>
      <c r="Q86" s="161">
        <v>0</v>
      </c>
      <c r="R86" s="162">
        <f>P86-Q86</f>
        <v>0</v>
      </c>
      <c r="S86" s="171" t="str">
        <f t="shared" si="36"/>
        <v/>
      </c>
      <c r="T86" s="164">
        <f>P86-G86</f>
        <v>0</v>
      </c>
      <c r="U86" s="227" t="str">
        <f t="shared" si="37"/>
        <v/>
      </c>
    </row>
    <row r="87" spans="1:21" x14ac:dyDescent="0.2">
      <c r="F87" s="195"/>
      <c r="G87" s="166"/>
      <c r="H87" s="83"/>
      <c r="I87" s="83"/>
      <c r="J87" s="83"/>
      <c r="K87" s="15"/>
      <c r="L87" s="167"/>
      <c r="M87" s="148"/>
      <c r="N87" s="148"/>
      <c r="O87" s="148"/>
      <c r="P87" s="150"/>
      <c r="Q87" s="151"/>
      <c r="R87" s="152"/>
      <c r="S87" s="173"/>
      <c r="T87" s="154"/>
      <c r="U87" s="170"/>
    </row>
    <row r="88" spans="1:21" ht="13.2" outlineLevel="1" thickBot="1" x14ac:dyDescent="0.25">
      <c r="A88" s="118" t="s">
        <v>177</v>
      </c>
      <c r="F88" s="195"/>
      <c r="G88" s="196">
        <f t="shared" ref="G88:Q88" si="39">G78+G80-G86</f>
        <v>2606.0999999999972</v>
      </c>
      <c r="H88" s="89">
        <f t="shared" si="39"/>
        <v>4403</v>
      </c>
      <c r="I88" s="89">
        <f t="shared" si="39"/>
        <v>6430</v>
      </c>
      <c r="J88" s="89">
        <f t="shared" si="39"/>
        <v>2490</v>
      </c>
      <c r="K88" s="293">
        <f t="shared" si="39"/>
        <v>1416</v>
      </c>
      <c r="L88" s="196">
        <f t="shared" si="39"/>
        <v>4403</v>
      </c>
      <c r="M88" s="197">
        <f t="shared" si="39"/>
        <v>2027</v>
      </c>
      <c r="N88" s="197">
        <f t="shared" si="39"/>
        <v>-3940</v>
      </c>
      <c r="O88" s="197">
        <f t="shared" si="39"/>
        <v>-1074</v>
      </c>
      <c r="P88" s="189">
        <f t="shared" si="39"/>
        <v>1416</v>
      </c>
      <c r="Q88" s="198">
        <f t="shared" si="39"/>
        <v>1956</v>
      </c>
      <c r="R88" s="198">
        <f>R78+-R86</f>
        <v>-540</v>
      </c>
      <c r="S88" s="199">
        <f>IF(Q88=0,"",P88/Q88)</f>
        <v>0.7239263803680982</v>
      </c>
      <c r="T88" s="198">
        <f>T78+-T86</f>
        <v>-1190.4499999999998</v>
      </c>
      <c r="U88" s="200">
        <f>IF(G88=0,"",P88/G88)</f>
        <v>0.54334062392080174</v>
      </c>
    </row>
    <row r="89" spans="1:21" outlineLevel="1" x14ac:dyDescent="0.2">
      <c r="A89" s="118"/>
      <c r="F89" s="195"/>
      <c r="G89" s="201"/>
      <c r="H89" s="83"/>
      <c r="I89" s="83"/>
      <c r="J89" s="83"/>
      <c r="K89" s="15"/>
      <c r="L89" s="202"/>
      <c r="M89" s="203"/>
      <c r="N89" s="203"/>
      <c r="O89" s="148"/>
      <c r="P89" s="204"/>
      <c r="Q89" s="151"/>
      <c r="R89" s="152"/>
      <c r="S89" s="153"/>
      <c r="T89" s="154"/>
      <c r="U89" s="170"/>
    </row>
    <row r="90" spans="1:21" outlineLevel="1" x14ac:dyDescent="0.2">
      <c r="A90" s="118" t="s">
        <v>178</v>
      </c>
      <c r="F90" s="195"/>
      <c r="G90" s="201"/>
      <c r="H90" s="83"/>
      <c r="I90" s="83"/>
      <c r="J90" s="83"/>
      <c r="K90" s="15"/>
      <c r="L90" s="202"/>
      <c r="M90" s="203"/>
      <c r="N90" s="203"/>
      <c r="O90" s="148"/>
      <c r="P90" s="204"/>
      <c r="Q90" s="151"/>
      <c r="R90" s="152"/>
      <c r="S90" s="153"/>
      <c r="T90" s="154"/>
      <c r="U90" s="170"/>
    </row>
    <row r="91" spans="1:21" outlineLevel="1" x14ac:dyDescent="0.2">
      <c r="A91" s="118"/>
      <c r="B91" s="116" t="s">
        <v>179</v>
      </c>
      <c r="F91" s="195"/>
      <c r="G91" s="201"/>
      <c r="H91" s="83">
        <f>H132</f>
        <v>0</v>
      </c>
      <c r="I91" s="83">
        <f>I132</f>
        <v>0</v>
      </c>
      <c r="J91" s="83">
        <f>J132</f>
        <v>0</v>
      </c>
      <c r="K91" s="15">
        <f>K132</f>
        <v>0</v>
      </c>
      <c r="L91" s="202"/>
      <c r="M91" s="203"/>
      <c r="N91" s="203"/>
      <c r="O91" s="148"/>
      <c r="P91" s="150">
        <f>SUM(L91:O91)</f>
        <v>0</v>
      </c>
      <c r="Q91" s="151"/>
      <c r="R91" s="152">
        <f>P91-Q91</f>
        <v>0</v>
      </c>
      <c r="S91" s="173" t="str">
        <f>IF(Q91=0,"",P91/Q91)</f>
        <v/>
      </c>
      <c r="T91" s="154">
        <f>P91-G91</f>
        <v>0</v>
      </c>
      <c r="U91" s="170" t="str">
        <f>IF(G91=0,"",P91/G91)</f>
        <v/>
      </c>
    </row>
    <row r="92" spans="1:21" outlineLevel="1" x14ac:dyDescent="0.2">
      <c r="A92" s="118"/>
      <c r="B92" s="116" t="s">
        <v>260</v>
      </c>
      <c r="E92" s="116" t="s">
        <v>412</v>
      </c>
      <c r="F92" s="195"/>
      <c r="G92" s="201">
        <f>+G132</f>
        <v>4799</v>
      </c>
      <c r="H92" s="83"/>
      <c r="I92" s="83"/>
      <c r="J92" s="83"/>
      <c r="K92" s="15"/>
      <c r="L92" s="202">
        <f>+H92</f>
        <v>0</v>
      </c>
      <c r="M92" s="203">
        <f>IF(I92=0,0,I92-H92)</f>
        <v>0</v>
      </c>
      <c r="N92" s="203">
        <f>IF(J92=0,0,J92-I92)</f>
        <v>0</v>
      </c>
      <c r="O92" s="148">
        <f>IF(K92=0,0,K92-J92)</f>
        <v>0</v>
      </c>
      <c r="P92" s="150">
        <f>SUM(L92:O92)</f>
        <v>0</v>
      </c>
      <c r="Q92" s="151">
        <f>+Q132</f>
        <v>19800</v>
      </c>
      <c r="R92" s="152">
        <f>P92-Q92</f>
        <v>-19800</v>
      </c>
      <c r="S92" s="173">
        <f>IF(Q92=0,"",P92/Q92)</f>
        <v>0</v>
      </c>
      <c r="T92" s="154">
        <f>P92-G92</f>
        <v>-4799</v>
      </c>
      <c r="U92" s="170">
        <f>IF(G92=0,"",P92/G92)</f>
        <v>0</v>
      </c>
    </row>
    <row r="93" spans="1:21" outlineLevel="1" x14ac:dyDescent="0.2">
      <c r="A93" s="118"/>
      <c r="F93" s="195"/>
      <c r="G93" s="201"/>
      <c r="H93" s="83"/>
      <c r="I93" s="83"/>
      <c r="J93" s="83"/>
      <c r="K93" s="15"/>
      <c r="L93" s="202"/>
      <c r="M93" s="203"/>
      <c r="N93" s="203"/>
      <c r="O93" s="148"/>
      <c r="P93" s="204"/>
      <c r="Q93" s="151"/>
      <c r="R93" s="152"/>
      <c r="S93" s="173"/>
      <c r="T93" s="154"/>
      <c r="U93" s="170"/>
    </row>
    <row r="94" spans="1:21" outlineLevel="1" x14ac:dyDescent="0.2">
      <c r="A94" s="118"/>
      <c r="B94" s="118" t="s">
        <v>180</v>
      </c>
      <c r="F94" s="195"/>
      <c r="G94" s="157">
        <f>+G91+G92</f>
        <v>4799</v>
      </c>
      <c r="H94" s="84">
        <f>+H91+H92</f>
        <v>0</v>
      </c>
      <c r="I94" s="84">
        <f>+I91+I92</f>
        <v>0</v>
      </c>
      <c r="J94" s="84">
        <f>+J91+J92</f>
        <v>0</v>
      </c>
      <c r="K94" s="290">
        <f>+K91+K92</f>
        <v>0</v>
      </c>
      <c r="L94" s="159">
        <f t="shared" ref="L94:Q94" si="40">+L91+L92</f>
        <v>0</v>
      </c>
      <c r="M94" s="158">
        <f t="shared" si="40"/>
        <v>0</v>
      </c>
      <c r="N94" s="158">
        <f t="shared" si="40"/>
        <v>0</v>
      </c>
      <c r="O94" s="158">
        <f t="shared" si="40"/>
        <v>0</v>
      </c>
      <c r="P94" s="160">
        <f t="shared" si="40"/>
        <v>0</v>
      </c>
      <c r="Q94" s="161">
        <f t="shared" si="40"/>
        <v>19800</v>
      </c>
      <c r="R94" s="162">
        <f>R91+R92</f>
        <v>-19800</v>
      </c>
      <c r="S94" s="171">
        <f>IF(Q94=0,"",P94/Q94)</f>
        <v>0</v>
      </c>
      <c r="T94" s="164">
        <f>T91+T92</f>
        <v>-4799</v>
      </c>
      <c r="U94" s="205">
        <f>IF(G94=0,"",P94/G94)</f>
        <v>0</v>
      </c>
    </row>
    <row r="95" spans="1:21" outlineLevel="1" x14ac:dyDescent="0.2">
      <c r="A95" s="118"/>
      <c r="F95" s="195"/>
      <c r="G95" s="201"/>
      <c r="H95" s="83"/>
      <c r="I95" s="83"/>
      <c r="J95" s="83"/>
      <c r="K95" s="15"/>
      <c r="L95" s="202"/>
      <c r="M95" s="203"/>
      <c r="N95" s="203"/>
      <c r="O95" s="148"/>
      <c r="P95" s="204"/>
      <c r="Q95" s="151"/>
      <c r="R95" s="152"/>
      <c r="S95" s="173"/>
      <c r="T95" s="154"/>
      <c r="U95" s="206"/>
    </row>
    <row r="96" spans="1:21" ht="13.2" thickBot="1" x14ac:dyDescent="0.25">
      <c r="A96" s="118" t="s">
        <v>181</v>
      </c>
      <c r="F96" s="195"/>
      <c r="G96" s="207">
        <f t="shared" ref="G96:Q96" si="41">+G88-G94</f>
        <v>-2192.9000000000028</v>
      </c>
      <c r="H96" s="90">
        <f t="shared" si="41"/>
        <v>4403</v>
      </c>
      <c r="I96" s="90">
        <f t="shared" si="41"/>
        <v>6430</v>
      </c>
      <c r="J96" s="90">
        <f t="shared" si="41"/>
        <v>2490</v>
      </c>
      <c r="K96" s="294">
        <f t="shared" si="41"/>
        <v>1416</v>
      </c>
      <c r="L96" s="207">
        <f t="shared" si="41"/>
        <v>4403</v>
      </c>
      <c r="M96" s="208">
        <f t="shared" si="41"/>
        <v>2027</v>
      </c>
      <c r="N96" s="208">
        <f t="shared" si="41"/>
        <v>-3940</v>
      </c>
      <c r="O96" s="208">
        <f t="shared" si="41"/>
        <v>-1074</v>
      </c>
      <c r="P96" s="209">
        <f t="shared" si="41"/>
        <v>1416</v>
      </c>
      <c r="Q96" s="210">
        <f t="shared" si="41"/>
        <v>-17844</v>
      </c>
      <c r="R96" s="211">
        <f>R88-R94</f>
        <v>19260</v>
      </c>
      <c r="S96" s="212">
        <f>IF(Q96=0,"",P96/Q96)</f>
        <v>-7.9354404841963683E-2</v>
      </c>
      <c r="T96" s="213">
        <f>T88-T94</f>
        <v>3608.55</v>
      </c>
      <c r="U96" s="214">
        <f>IF(G96=0,"",P96/G96)</f>
        <v>-0.64572027908249263</v>
      </c>
    </row>
    <row r="97" spans="1:21" ht="13.2" thickTop="1" x14ac:dyDescent="0.2">
      <c r="F97" s="195"/>
      <c r="G97" s="166"/>
      <c r="H97" s="83"/>
      <c r="I97" s="83"/>
      <c r="J97" s="83"/>
      <c r="K97" s="15"/>
      <c r="L97" s="167"/>
      <c r="M97" s="148"/>
      <c r="N97" s="148"/>
      <c r="O97" s="148"/>
      <c r="P97" s="150"/>
      <c r="Q97" s="151"/>
      <c r="R97" s="152"/>
      <c r="S97" s="153"/>
      <c r="T97" s="154"/>
      <c r="U97" s="170"/>
    </row>
    <row r="98" spans="1:21" x14ac:dyDescent="0.2">
      <c r="A98" s="118" t="s">
        <v>334</v>
      </c>
      <c r="F98" s="195"/>
      <c r="G98" s="166"/>
      <c r="H98" s="83"/>
      <c r="I98" s="83"/>
      <c r="J98" s="83"/>
      <c r="K98" s="15"/>
      <c r="L98" s="167"/>
      <c r="M98" s="148"/>
      <c r="N98" s="148"/>
      <c r="O98" s="148"/>
      <c r="P98" s="150"/>
      <c r="Q98" s="151"/>
      <c r="R98" s="152"/>
      <c r="S98" s="153"/>
      <c r="T98" s="154"/>
      <c r="U98" s="170"/>
    </row>
    <row r="99" spans="1:21" x14ac:dyDescent="0.2">
      <c r="B99" s="116" t="s">
        <v>335</v>
      </c>
      <c r="F99" s="195"/>
      <c r="G99" s="166">
        <v>12407</v>
      </c>
      <c r="H99" s="83"/>
      <c r="I99" s="83">
        <v>8102</v>
      </c>
      <c r="J99" s="83">
        <v>8102</v>
      </c>
      <c r="K99" s="15">
        <v>8102</v>
      </c>
      <c r="L99" s="167">
        <f t="shared" ref="L99:L107" si="42">+H99</f>
        <v>0</v>
      </c>
      <c r="M99" s="148">
        <f t="shared" ref="M99:O107" si="43">IF(I99=0,0,I99-H99)</f>
        <v>8102</v>
      </c>
      <c r="N99" s="148">
        <f t="shared" si="43"/>
        <v>0</v>
      </c>
      <c r="O99" s="148">
        <f t="shared" si="43"/>
        <v>0</v>
      </c>
      <c r="P99" s="150">
        <f t="shared" ref="P99:P107" si="44">SUM(L99:O99)</f>
        <v>8102</v>
      </c>
      <c r="Q99" s="151">
        <v>12000</v>
      </c>
      <c r="R99" s="152">
        <f t="shared" ref="R99:R107" si="45">P99-Q99</f>
        <v>-3898</v>
      </c>
      <c r="S99" s="173">
        <f t="shared" ref="S99:S107" si="46">IF(Q99=0,"",P99/Q99)</f>
        <v>0.67516666666666669</v>
      </c>
      <c r="T99" s="154">
        <f t="shared" ref="T99:T107" si="47">P99-G99</f>
        <v>-4305</v>
      </c>
      <c r="U99" s="170">
        <f t="shared" ref="U99:U107" si="48">IF(G99=0,"",P99/G99)</f>
        <v>0.65301845732247921</v>
      </c>
    </row>
    <row r="100" spans="1:21" x14ac:dyDescent="0.2">
      <c r="B100" s="116" t="s">
        <v>336</v>
      </c>
      <c r="F100" s="195">
        <v>5491</v>
      </c>
      <c r="G100" s="166"/>
      <c r="H100" s="83"/>
      <c r="I100" s="83"/>
      <c r="J100" s="83"/>
      <c r="K100" s="15"/>
      <c r="L100" s="167">
        <f t="shared" si="42"/>
        <v>0</v>
      </c>
      <c r="M100" s="148">
        <f t="shared" si="43"/>
        <v>0</v>
      </c>
      <c r="N100" s="148">
        <f t="shared" si="43"/>
        <v>0</v>
      </c>
      <c r="O100" s="148">
        <f t="shared" si="43"/>
        <v>0</v>
      </c>
      <c r="P100" s="150">
        <f t="shared" si="44"/>
        <v>0</v>
      </c>
      <c r="Q100" s="151"/>
      <c r="R100" s="152">
        <f t="shared" si="45"/>
        <v>0</v>
      </c>
      <c r="S100" s="173" t="str">
        <f t="shared" si="46"/>
        <v/>
      </c>
      <c r="T100" s="154">
        <f t="shared" si="47"/>
        <v>0</v>
      </c>
      <c r="U100" s="170" t="str">
        <f t="shared" si="48"/>
        <v/>
      </c>
    </row>
    <row r="101" spans="1:21" x14ac:dyDescent="0.2">
      <c r="B101" s="116" t="s">
        <v>337</v>
      </c>
      <c r="F101" s="195"/>
      <c r="G101" s="166">
        <v>6000</v>
      </c>
      <c r="H101" s="83">
        <v>6000</v>
      </c>
      <c r="I101" s="83">
        <v>6000</v>
      </c>
      <c r="J101" s="83">
        <v>6000</v>
      </c>
      <c r="K101" s="15">
        <v>6000</v>
      </c>
      <c r="L101" s="167">
        <f t="shared" si="42"/>
        <v>6000</v>
      </c>
      <c r="M101" s="148">
        <f t="shared" si="43"/>
        <v>0</v>
      </c>
      <c r="N101" s="148">
        <f t="shared" si="43"/>
        <v>0</v>
      </c>
      <c r="O101" s="148">
        <f t="shared" si="43"/>
        <v>0</v>
      </c>
      <c r="P101" s="150">
        <f t="shared" si="44"/>
        <v>6000</v>
      </c>
      <c r="Q101" s="151">
        <v>6000</v>
      </c>
      <c r="R101" s="152">
        <f t="shared" si="45"/>
        <v>0</v>
      </c>
      <c r="S101" s="173">
        <f t="shared" si="46"/>
        <v>1</v>
      </c>
      <c r="T101" s="154">
        <f t="shared" si="47"/>
        <v>0</v>
      </c>
      <c r="U101" s="170">
        <f t="shared" si="48"/>
        <v>1</v>
      </c>
    </row>
    <row r="102" spans="1:21" x14ac:dyDescent="0.2">
      <c r="B102" s="116" t="s">
        <v>338</v>
      </c>
      <c r="F102" s="195"/>
      <c r="G102" s="166"/>
      <c r="H102" s="83"/>
      <c r="I102" s="83"/>
      <c r="J102" s="83"/>
      <c r="K102" s="15"/>
      <c r="L102" s="167">
        <f t="shared" si="42"/>
        <v>0</v>
      </c>
      <c r="M102" s="148">
        <f t="shared" si="43"/>
        <v>0</v>
      </c>
      <c r="N102" s="148">
        <f t="shared" si="43"/>
        <v>0</v>
      </c>
      <c r="O102" s="148">
        <f t="shared" si="43"/>
        <v>0</v>
      </c>
      <c r="P102" s="150">
        <f t="shared" si="44"/>
        <v>0</v>
      </c>
      <c r="Q102" s="151"/>
      <c r="R102" s="152">
        <f t="shared" si="45"/>
        <v>0</v>
      </c>
      <c r="S102" s="173" t="str">
        <f t="shared" si="46"/>
        <v/>
      </c>
      <c r="T102" s="154">
        <f t="shared" si="47"/>
        <v>0</v>
      </c>
      <c r="U102" s="170" t="str">
        <f t="shared" si="48"/>
        <v/>
      </c>
    </row>
    <row r="103" spans="1:21" x14ac:dyDescent="0.2">
      <c r="B103" s="116" t="s">
        <v>339</v>
      </c>
      <c r="F103" s="195"/>
      <c r="G103" s="166"/>
      <c r="H103" s="83"/>
      <c r="I103" s="83"/>
      <c r="J103" s="83"/>
      <c r="K103" s="15"/>
      <c r="L103" s="167">
        <f t="shared" si="42"/>
        <v>0</v>
      </c>
      <c r="M103" s="148">
        <f t="shared" si="43"/>
        <v>0</v>
      </c>
      <c r="N103" s="148">
        <f t="shared" si="43"/>
        <v>0</v>
      </c>
      <c r="O103" s="148">
        <f t="shared" si="43"/>
        <v>0</v>
      </c>
      <c r="P103" s="150">
        <f t="shared" si="44"/>
        <v>0</v>
      </c>
      <c r="Q103" s="151"/>
      <c r="R103" s="152">
        <f t="shared" si="45"/>
        <v>0</v>
      </c>
      <c r="S103" s="173" t="str">
        <f t="shared" si="46"/>
        <v/>
      </c>
      <c r="T103" s="154">
        <f t="shared" si="47"/>
        <v>0</v>
      </c>
      <c r="U103" s="170" t="str">
        <f t="shared" si="48"/>
        <v/>
      </c>
    </row>
    <row r="104" spans="1:21" x14ac:dyDescent="0.2">
      <c r="B104" s="116" t="s">
        <v>340</v>
      </c>
      <c r="F104" s="195"/>
      <c r="G104" s="166"/>
      <c r="H104" s="83"/>
      <c r="I104" s="83"/>
      <c r="J104" s="83"/>
      <c r="K104" s="15"/>
      <c r="L104" s="167">
        <f t="shared" si="42"/>
        <v>0</v>
      </c>
      <c r="M104" s="148">
        <f t="shared" si="43"/>
        <v>0</v>
      </c>
      <c r="N104" s="148">
        <f t="shared" si="43"/>
        <v>0</v>
      </c>
      <c r="O104" s="148">
        <f t="shared" si="43"/>
        <v>0</v>
      </c>
      <c r="P104" s="150">
        <f t="shared" si="44"/>
        <v>0</v>
      </c>
      <c r="Q104" s="151"/>
      <c r="R104" s="152">
        <f t="shared" si="45"/>
        <v>0</v>
      </c>
      <c r="S104" s="173" t="str">
        <f t="shared" si="46"/>
        <v/>
      </c>
      <c r="T104" s="154">
        <f t="shared" si="47"/>
        <v>0</v>
      </c>
      <c r="U104" s="170" t="str">
        <f t="shared" si="48"/>
        <v/>
      </c>
    </row>
    <row r="105" spans="1:21" x14ac:dyDescent="0.2">
      <c r="B105" s="116" t="s">
        <v>341</v>
      </c>
      <c r="F105" s="195"/>
      <c r="G105" s="166"/>
      <c r="H105" s="83"/>
      <c r="I105" s="83"/>
      <c r="J105" s="83"/>
      <c r="K105" s="15"/>
      <c r="L105" s="167">
        <f t="shared" si="42"/>
        <v>0</v>
      </c>
      <c r="M105" s="148">
        <f t="shared" si="43"/>
        <v>0</v>
      </c>
      <c r="N105" s="148">
        <f t="shared" si="43"/>
        <v>0</v>
      </c>
      <c r="O105" s="148">
        <f t="shared" si="43"/>
        <v>0</v>
      </c>
      <c r="P105" s="150">
        <f t="shared" si="44"/>
        <v>0</v>
      </c>
      <c r="Q105" s="151"/>
      <c r="R105" s="152">
        <f t="shared" si="45"/>
        <v>0</v>
      </c>
      <c r="S105" s="173" t="str">
        <f t="shared" si="46"/>
        <v/>
      </c>
      <c r="T105" s="154">
        <f t="shared" si="47"/>
        <v>0</v>
      </c>
      <c r="U105" s="170" t="str">
        <f t="shared" si="48"/>
        <v/>
      </c>
    </row>
    <row r="106" spans="1:21" x14ac:dyDescent="0.2">
      <c r="B106" s="116" t="s">
        <v>342</v>
      </c>
      <c r="F106" s="195"/>
      <c r="G106" s="166"/>
      <c r="H106" s="83"/>
      <c r="I106" s="83"/>
      <c r="J106" s="83"/>
      <c r="K106" s="15"/>
      <c r="L106" s="167">
        <f t="shared" si="42"/>
        <v>0</v>
      </c>
      <c r="M106" s="148">
        <f t="shared" si="43"/>
        <v>0</v>
      </c>
      <c r="N106" s="148">
        <f t="shared" si="43"/>
        <v>0</v>
      </c>
      <c r="O106" s="148">
        <f t="shared" si="43"/>
        <v>0</v>
      </c>
      <c r="P106" s="150">
        <f t="shared" si="44"/>
        <v>0</v>
      </c>
      <c r="Q106" s="151"/>
      <c r="R106" s="152">
        <f t="shared" si="45"/>
        <v>0</v>
      </c>
      <c r="S106" s="173" t="str">
        <f t="shared" si="46"/>
        <v/>
      </c>
      <c r="T106" s="154">
        <f t="shared" si="47"/>
        <v>0</v>
      </c>
      <c r="U106" s="170" t="str">
        <f t="shared" si="48"/>
        <v/>
      </c>
    </row>
    <row r="107" spans="1:21" x14ac:dyDescent="0.2">
      <c r="B107" s="116" t="s">
        <v>343</v>
      </c>
      <c r="F107" s="195"/>
      <c r="G107" s="166"/>
      <c r="H107" s="83"/>
      <c r="I107" s="83"/>
      <c r="J107" s="83"/>
      <c r="K107" s="15"/>
      <c r="L107" s="167">
        <f t="shared" si="42"/>
        <v>0</v>
      </c>
      <c r="M107" s="148">
        <f t="shared" si="43"/>
        <v>0</v>
      </c>
      <c r="N107" s="148">
        <f t="shared" si="43"/>
        <v>0</v>
      </c>
      <c r="O107" s="148">
        <f t="shared" si="43"/>
        <v>0</v>
      </c>
      <c r="P107" s="150">
        <f t="shared" si="44"/>
        <v>0</v>
      </c>
      <c r="Q107" s="151"/>
      <c r="R107" s="152">
        <f t="shared" si="45"/>
        <v>0</v>
      </c>
      <c r="S107" s="173" t="str">
        <f t="shared" si="46"/>
        <v/>
      </c>
      <c r="T107" s="154">
        <f t="shared" si="47"/>
        <v>0</v>
      </c>
      <c r="U107" s="170" t="str">
        <f t="shared" si="48"/>
        <v/>
      </c>
    </row>
    <row r="108" spans="1:21" x14ac:dyDescent="0.2">
      <c r="F108" s="195"/>
      <c r="G108" s="166"/>
      <c r="H108" s="83"/>
      <c r="I108" s="83"/>
      <c r="J108" s="83"/>
      <c r="K108" s="15"/>
      <c r="L108" s="167"/>
      <c r="M108" s="148"/>
      <c r="N108" s="148"/>
      <c r="O108" s="148"/>
      <c r="P108" s="150"/>
      <c r="Q108" s="151"/>
      <c r="R108" s="152"/>
      <c r="S108" s="153"/>
      <c r="T108" s="154"/>
      <c r="U108" s="170"/>
    </row>
    <row r="109" spans="1:21" x14ac:dyDescent="0.2">
      <c r="B109" s="118" t="s">
        <v>344</v>
      </c>
      <c r="F109" s="195"/>
      <c r="G109" s="175">
        <f>SUM(G99:G108)</f>
        <v>18407</v>
      </c>
      <c r="H109" s="86">
        <f>SUM(H99:H108)</f>
        <v>6000</v>
      </c>
      <c r="I109" s="86">
        <f>SUM(I99:I108)</f>
        <v>14102</v>
      </c>
      <c r="J109" s="86">
        <f>SUM(J99:J108)</f>
        <v>14102</v>
      </c>
      <c r="K109" s="291">
        <f>SUM(K99:K108)</f>
        <v>14102</v>
      </c>
      <c r="L109" s="177">
        <f t="shared" ref="L109:R109" si="49">SUM(L99:L108)</f>
        <v>6000</v>
      </c>
      <c r="M109" s="176">
        <f t="shared" si="49"/>
        <v>8102</v>
      </c>
      <c r="N109" s="176">
        <f t="shared" si="49"/>
        <v>0</v>
      </c>
      <c r="O109" s="176">
        <f t="shared" si="49"/>
        <v>0</v>
      </c>
      <c r="P109" s="178">
        <f t="shared" si="49"/>
        <v>14102</v>
      </c>
      <c r="Q109" s="179">
        <f t="shared" si="49"/>
        <v>18000</v>
      </c>
      <c r="R109" s="180">
        <f t="shared" si="49"/>
        <v>-3898</v>
      </c>
      <c r="S109" s="181">
        <f>IF(Q109=0,"",P109/Q109)</f>
        <v>0.7834444444444445</v>
      </c>
      <c r="T109" s="182">
        <f>SUM(T99:T108)</f>
        <v>-4305</v>
      </c>
      <c r="U109" s="183">
        <f>IF(G109=0,"",P109/G109)</f>
        <v>0.76612158417993159</v>
      </c>
    </row>
    <row r="110" spans="1:21" x14ac:dyDescent="0.2">
      <c r="F110" s="195"/>
      <c r="G110" s="166"/>
      <c r="H110" s="83"/>
      <c r="I110" s="83"/>
      <c r="J110" s="83"/>
      <c r="K110" s="15"/>
      <c r="L110" s="167"/>
      <c r="M110" s="148"/>
      <c r="N110" s="148"/>
      <c r="O110" s="148"/>
      <c r="P110" s="150"/>
      <c r="Q110" s="151"/>
      <c r="R110" s="152"/>
      <c r="S110" s="153"/>
      <c r="T110" s="154"/>
      <c r="U110" s="170"/>
    </row>
    <row r="111" spans="1:21" x14ac:dyDescent="0.2">
      <c r="F111" s="195"/>
      <c r="G111" s="166"/>
      <c r="H111" s="226"/>
      <c r="I111" s="83"/>
      <c r="J111" s="83"/>
      <c r="K111" s="15"/>
      <c r="L111" s="167"/>
      <c r="M111" s="148"/>
      <c r="N111" s="148"/>
      <c r="O111" s="148"/>
      <c r="P111" s="150"/>
      <c r="Q111" s="151"/>
      <c r="R111" s="152"/>
      <c r="S111" s="153"/>
      <c r="T111" s="154"/>
      <c r="U111" s="170"/>
    </row>
    <row r="112" spans="1:21" x14ac:dyDescent="0.2">
      <c r="F112" s="195"/>
      <c r="G112" s="166"/>
      <c r="H112" s="83"/>
      <c r="I112" s="83"/>
      <c r="J112" s="83"/>
      <c r="K112" s="15"/>
      <c r="L112" s="167"/>
      <c r="M112" s="148"/>
      <c r="N112" s="148"/>
      <c r="O112" s="148"/>
      <c r="P112" s="150"/>
      <c r="Q112" s="151"/>
      <c r="R112" s="152"/>
      <c r="S112" s="153"/>
      <c r="T112" s="154"/>
      <c r="U112" s="170"/>
    </row>
    <row r="113" spans="1:21" x14ac:dyDescent="0.2">
      <c r="A113" s="118" t="s">
        <v>345</v>
      </c>
      <c r="F113" s="195"/>
      <c r="G113" s="166"/>
      <c r="H113" s="83"/>
      <c r="I113" s="83"/>
      <c r="J113" s="83"/>
      <c r="K113" s="15"/>
      <c r="L113" s="167"/>
      <c r="M113" s="148"/>
      <c r="N113" s="148"/>
      <c r="O113" s="148"/>
      <c r="P113" s="150"/>
      <c r="Q113" s="151"/>
      <c r="R113" s="152"/>
      <c r="S113" s="153"/>
      <c r="T113" s="154"/>
      <c r="U113" s="170"/>
    </row>
    <row r="114" spans="1:21" outlineLevel="1" x14ac:dyDescent="0.2">
      <c r="A114" s="118"/>
      <c r="B114" s="118" t="s">
        <v>348</v>
      </c>
      <c r="F114" s="195"/>
      <c r="G114" s="166"/>
      <c r="H114" s="83"/>
      <c r="I114" s="83"/>
      <c r="J114" s="83"/>
      <c r="K114" s="15"/>
      <c r="L114" s="167"/>
      <c r="M114" s="148"/>
      <c r="N114" s="148"/>
      <c r="O114" s="148"/>
      <c r="P114" s="150"/>
      <c r="Q114" s="151"/>
      <c r="R114" s="152"/>
      <c r="S114" s="153"/>
      <c r="T114" s="154"/>
      <c r="U114" s="170"/>
    </row>
    <row r="115" spans="1:21" outlineLevel="1" x14ac:dyDescent="0.2">
      <c r="A115" s="118"/>
      <c r="C115" t="s">
        <v>349</v>
      </c>
      <c r="F115" s="195"/>
      <c r="G115" s="166"/>
      <c r="H115" s="83"/>
      <c r="I115" s="83"/>
      <c r="J115" s="83"/>
      <c r="K115" s="15"/>
      <c r="L115" s="167">
        <f t="shared" ref="L115:L130" si="50">+H115</f>
        <v>0</v>
      </c>
      <c r="M115" s="148">
        <f t="shared" ref="M115:O130" si="51">IF(I115=0,0,I115-H115)</f>
        <v>0</v>
      </c>
      <c r="N115" s="148">
        <f t="shared" si="51"/>
        <v>0</v>
      </c>
      <c r="O115" s="148">
        <f t="shared" si="51"/>
        <v>0</v>
      </c>
      <c r="P115" s="150">
        <f t="shared" ref="P115:P130" si="52">SUM(L115:O115)</f>
        <v>0</v>
      </c>
      <c r="Q115" s="151">
        <v>2000</v>
      </c>
      <c r="R115" s="152">
        <f t="shared" ref="R115:R130" si="53">P115-Q115</f>
        <v>-2000</v>
      </c>
      <c r="S115" s="173">
        <f t="shared" ref="S115:S130" si="54">IF(Q115=0,"",P115/Q115)</f>
        <v>0</v>
      </c>
      <c r="T115" s="154">
        <f t="shared" ref="T115:T130" si="55">P115-G115</f>
        <v>0</v>
      </c>
      <c r="U115" s="170" t="str">
        <f t="shared" ref="U115:U130" si="56">IF(G115=0,"",P115/G115)</f>
        <v/>
      </c>
    </row>
    <row r="116" spans="1:21" outlineLevel="1" x14ac:dyDescent="0.2">
      <c r="A116" s="118"/>
      <c r="C116" t="s">
        <v>302</v>
      </c>
      <c r="F116" s="195"/>
      <c r="G116" s="166"/>
      <c r="H116" s="83"/>
      <c r="I116" s="83"/>
      <c r="J116" s="83"/>
      <c r="K116" s="15"/>
      <c r="L116" s="167">
        <f t="shared" si="50"/>
        <v>0</v>
      </c>
      <c r="M116" s="148">
        <f t="shared" si="51"/>
        <v>0</v>
      </c>
      <c r="N116" s="148">
        <f t="shared" si="51"/>
        <v>0</v>
      </c>
      <c r="O116" s="148">
        <f t="shared" si="51"/>
        <v>0</v>
      </c>
      <c r="P116" s="150">
        <f t="shared" si="52"/>
        <v>0</v>
      </c>
      <c r="Q116" s="151">
        <v>1500</v>
      </c>
      <c r="R116" s="152">
        <f t="shared" si="53"/>
        <v>-1500</v>
      </c>
      <c r="S116" s="173">
        <f t="shared" si="54"/>
        <v>0</v>
      </c>
      <c r="T116" s="154">
        <f t="shared" si="55"/>
        <v>0</v>
      </c>
      <c r="U116" s="170" t="str">
        <f t="shared" si="56"/>
        <v/>
      </c>
    </row>
    <row r="117" spans="1:21" outlineLevel="1" x14ac:dyDescent="0.2">
      <c r="A117" s="118"/>
      <c r="C117" t="s">
        <v>303</v>
      </c>
      <c r="F117" s="195"/>
      <c r="G117" s="166"/>
      <c r="H117" s="83"/>
      <c r="I117" s="83"/>
      <c r="J117" s="83"/>
      <c r="K117" s="15"/>
      <c r="L117" s="167">
        <f t="shared" si="50"/>
        <v>0</v>
      </c>
      <c r="M117" s="148">
        <f t="shared" si="51"/>
        <v>0</v>
      </c>
      <c r="N117" s="148">
        <f t="shared" si="51"/>
        <v>0</v>
      </c>
      <c r="O117" s="148">
        <f t="shared" si="51"/>
        <v>0</v>
      </c>
      <c r="P117" s="150">
        <f t="shared" si="52"/>
        <v>0</v>
      </c>
      <c r="Q117" s="151">
        <v>300</v>
      </c>
      <c r="R117" s="152">
        <f t="shared" si="53"/>
        <v>-300</v>
      </c>
      <c r="S117" s="173">
        <f t="shared" si="54"/>
        <v>0</v>
      </c>
      <c r="T117" s="154">
        <f t="shared" si="55"/>
        <v>0</v>
      </c>
      <c r="U117" s="170" t="str">
        <f t="shared" si="56"/>
        <v/>
      </c>
    </row>
    <row r="118" spans="1:21" outlineLevel="1" x14ac:dyDescent="0.2">
      <c r="A118" s="118"/>
      <c r="C118" s="116" t="s">
        <v>304</v>
      </c>
      <c r="F118" s="195"/>
      <c r="G118" s="166"/>
      <c r="H118" s="83"/>
      <c r="I118" s="83"/>
      <c r="J118" s="83"/>
      <c r="K118" s="15"/>
      <c r="L118" s="167">
        <f t="shared" si="50"/>
        <v>0</v>
      </c>
      <c r="M118" s="148">
        <f t="shared" si="51"/>
        <v>0</v>
      </c>
      <c r="N118" s="148">
        <f t="shared" si="51"/>
        <v>0</v>
      </c>
      <c r="O118" s="148">
        <f t="shared" si="51"/>
        <v>0</v>
      </c>
      <c r="P118" s="150">
        <f t="shared" si="52"/>
        <v>0</v>
      </c>
      <c r="Q118" s="151">
        <v>4500</v>
      </c>
      <c r="R118" s="152">
        <f t="shared" si="53"/>
        <v>-4500</v>
      </c>
      <c r="S118" s="173">
        <f t="shared" si="54"/>
        <v>0</v>
      </c>
      <c r="T118" s="154">
        <f t="shared" si="55"/>
        <v>0</v>
      </c>
      <c r="U118" s="170" t="str">
        <f t="shared" si="56"/>
        <v/>
      </c>
    </row>
    <row r="119" spans="1:21" outlineLevel="1" x14ac:dyDescent="0.2">
      <c r="A119" s="118"/>
      <c r="C119" s="116" t="s">
        <v>411</v>
      </c>
      <c r="F119" s="195"/>
      <c r="G119" s="166"/>
      <c r="H119" s="83"/>
      <c r="I119" s="83"/>
      <c r="J119" s="83"/>
      <c r="K119" s="15"/>
      <c r="L119" s="167">
        <f t="shared" si="50"/>
        <v>0</v>
      </c>
      <c r="M119" s="148">
        <f t="shared" si="51"/>
        <v>0</v>
      </c>
      <c r="N119" s="148">
        <f t="shared" si="51"/>
        <v>0</v>
      </c>
      <c r="O119" s="148">
        <f t="shared" si="51"/>
        <v>0</v>
      </c>
      <c r="P119" s="150">
        <f t="shared" si="52"/>
        <v>0</v>
      </c>
      <c r="Q119" s="151">
        <v>1100</v>
      </c>
      <c r="R119" s="152">
        <f t="shared" si="53"/>
        <v>-1100</v>
      </c>
      <c r="S119" s="173">
        <f t="shared" si="54"/>
        <v>0</v>
      </c>
      <c r="T119" s="154">
        <f t="shared" si="55"/>
        <v>0</v>
      </c>
      <c r="U119" s="170" t="str">
        <f t="shared" si="56"/>
        <v/>
      </c>
    </row>
    <row r="120" spans="1:21" outlineLevel="1" x14ac:dyDescent="0.2">
      <c r="A120" s="118"/>
      <c r="C120" s="116" t="s">
        <v>74</v>
      </c>
      <c r="F120" s="195"/>
      <c r="G120" s="166"/>
      <c r="H120" s="83"/>
      <c r="I120" s="83"/>
      <c r="J120" s="83"/>
      <c r="K120" s="15"/>
      <c r="L120" s="167">
        <f t="shared" si="50"/>
        <v>0</v>
      </c>
      <c r="M120" s="148">
        <f t="shared" si="51"/>
        <v>0</v>
      </c>
      <c r="N120" s="148">
        <f t="shared" si="51"/>
        <v>0</v>
      </c>
      <c r="O120" s="148">
        <f t="shared" si="51"/>
        <v>0</v>
      </c>
      <c r="P120" s="150">
        <f t="shared" si="52"/>
        <v>0</v>
      </c>
      <c r="Q120" s="151">
        <v>10000</v>
      </c>
      <c r="R120" s="152">
        <f t="shared" si="53"/>
        <v>-10000</v>
      </c>
      <c r="S120" s="173">
        <f t="shared" si="54"/>
        <v>0</v>
      </c>
      <c r="T120" s="154">
        <f t="shared" si="55"/>
        <v>0</v>
      </c>
      <c r="U120" s="170" t="str">
        <f t="shared" si="56"/>
        <v/>
      </c>
    </row>
    <row r="121" spans="1:21" outlineLevel="1" x14ac:dyDescent="0.2">
      <c r="A121" s="118"/>
      <c r="C121" s="116" t="s">
        <v>75</v>
      </c>
      <c r="F121" s="195"/>
      <c r="G121" s="166"/>
      <c r="H121" s="83"/>
      <c r="I121" s="83"/>
      <c r="J121" s="83"/>
      <c r="K121" s="15"/>
      <c r="L121" s="167">
        <f t="shared" si="50"/>
        <v>0</v>
      </c>
      <c r="M121" s="148">
        <f t="shared" si="51"/>
        <v>0</v>
      </c>
      <c r="N121" s="148">
        <f t="shared" si="51"/>
        <v>0</v>
      </c>
      <c r="O121" s="148">
        <f t="shared" si="51"/>
        <v>0</v>
      </c>
      <c r="P121" s="150">
        <f t="shared" si="52"/>
        <v>0</v>
      </c>
      <c r="Q121" s="151">
        <v>400</v>
      </c>
      <c r="R121" s="152">
        <f t="shared" si="53"/>
        <v>-400</v>
      </c>
      <c r="S121" s="173">
        <f t="shared" si="54"/>
        <v>0</v>
      </c>
      <c r="T121" s="154">
        <f t="shared" si="55"/>
        <v>0</v>
      </c>
      <c r="U121" s="170" t="str">
        <f t="shared" si="56"/>
        <v/>
      </c>
    </row>
    <row r="122" spans="1:21" outlineLevel="1" x14ac:dyDescent="0.2">
      <c r="A122" s="118"/>
      <c r="C122" s="116" t="s">
        <v>424</v>
      </c>
      <c r="F122" s="195"/>
      <c r="G122" s="166"/>
      <c r="H122" s="83"/>
      <c r="I122" s="83"/>
      <c r="J122" s="83"/>
      <c r="K122" s="15"/>
      <c r="L122" s="167">
        <f t="shared" si="50"/>
        <v>0</v>
      </c>
      <c r="M122" s="148">
        <f t="shared" si="51"/>
        <v>0</v>
      </c>
      <c r="N122" s="148">
        <f t="shared" si="51"/>
        <v>0</v>
      </c>
      <c r="O122" s="148">
        <f t="shared" si="51"/>
        <v>0</v>
      </c>
      <c r="P122" s="150">
        <f t="shared" si="52"/>
        <v>0</v>
      </c>
      <c r="Q122" s="151"/>
      <c r="R122" s="152">
        <f t="shared" si="53"/>
        <v>0</v>
      </c>
      <c r="S122" s="173" t="str">
        <f t="shared" si="54"/>
        <v/>
      </c>
      <c r="T122" s="154">
        <f t="shared" si="55"/>
        <v>0</v>
      </c>
      <c r="U122" s="170" t="str">
        <f t="shared" si="56"/>
        <v/>
      </c>
    </row>
    <row r="123" spans="1:21" outlineLevel="1" x14ac:dyDescent="0.2">
      <c r="A123" s="118"/>
      <c r="C123" s="116" t="s">
        <v>427</v>
      </c>
      <c r="F123" s="195"/>
      <c r="G123" s="166"/>
      <c r="H123" s="83"/>
      <c r="I123" s="83"/>
      <c r="J123" s="83"/>
      <c r="K123" s="15"/>
      <c r="L123" s="167">
        <f t="shared" si="50"/>
        <v>0</v>
      </c>
      <c r="M123" s="148">
        <f t="shared" si="51"/>
        <v>0</v>
      </c>
      <c r="N123" s="148">
        <f t="shared" si="51"/>
        <v>0</v>
      </c>
      <c r="O123" s="148">
        <f t="shared" si="51"/>
        <v>0</v>
      </c>
      <c r="P123" s="150">
        <f t="shared" si="52"/>
        <v>0</v>
      </c>
      <c r="Q123" s="151"/>
      <c r="R123" s="152">
        <f t="shared" si="53"/>
        <v>0</v>
      </c>
      <c r="S123" s="173" t="str">
        <f t="shared" si="54"/>
        <v/>
      </c>
      <c r="T123" s="154">
        <f t="shared" si="55"/>
        <v>0</v>
      </c>
      <c r="U123" s="170" t="str">
        <f t="shared" si="56"/>
        <v/>
      </c>
    </row>
    <row r="124" spans="1:21" outlineLevel="1" x14ac:dyDescent="0.2">
      <c r="A124" s="118"/>
      <c r="C124" s="116" t="s">
        <v>428</v>
      </c>
      <c r="F124" s="195"/>
      <c r="G124" s="166"/>
      <c r="H124" s="83"/>
      <c r="I124" s="83"/>
      <c r="J124" s="83"/>
      <c r="K124" s="15"/>
      <c r="L124" s="167">
        <f t="shared" si="50"/>
        <v>0</v>
      </c>
      <c r="M124" s="148">
        <f t="shared" si="51"/>
        <v>0</v>
      </c>
      <c r="N124" s="148">
        <f t="shared" si="51"/>
        <v>0</v>
      </c>
      <c r="O124" s="148">
        <f t="shared" si="51"/>
        <v>0</v>
      </c>
      <c r="P124" s="150">
        <f t="shared" si="52"/>
        <v>0</v>
      </c>
      <c r="Q124" s="151"/>
      <c r="R124" s="152">
        <f t="shared" si="53"/>
        <v>0</v>
      </c>
      <c r="S124" s="173" t="str">
        <f t="shared" si="54"/>
        <v/>
      </c>
      <c r="T124" s="154">
        <f t="shared" si="55"/>
        <v>0</v>
      </c>
      <c r="U124" s="170" t="str">
        <f t="shared" si="56"/>
        <v/>
      </c>
    </row>
    <row r="125" spans="1:21" outlineLevel="1" x14ac:dyDescent="0.2">
      <c r="A125" s="118"/>
      <c r="C125" s="116" t="s">
        <v>429</v>
      </c>
      <c r="F125" s="195"/>
      <c r="G125" s="166">
        <v>4010</v>
      </c>
      <c r="H125" s="83"/>
      <c r="I125" s="83"/>
      <c r="J125" s="83"/>
      <c r="K125" s="15"/>
      <c r="L125" s="167">
        <f t="shared" si="50"/>
        <v>0</v>
      </c>
      <c r="M125" s="148">
        <f t="shared" si="51"/>
        <v>0</v>
      </c>
      <c r="N125" s="148">
        <f t="shared" si="51"/>
        <v>0</v>
      </c>
      <c r="O125" s="148">
        <f t="shared" si="51"/>
        <v>0</v>
      </c>
      <c r="P125" s="150">
        <f t="shared" si="52"/>
        <v>0</v>
      </c>
      <c r="Q125" s="151"/>
      <c r="R125" s="152">
        <f t="shared" si="53"/>
        <v>0</v>
      </c>
      <c r="S125" s="173" t="str">
        <f t="shared" si="54"/>
        <v/>
      </c>
      <c r="T125" s="154">
        <f t="shared" si="55"/>
        <v>-4010</v>
      </c>
      <c r="U125" s="170">
        <f t="shared" si="56"/>
        <v>0</v>
      </c>
    </row>
    <row r="126" spans="1:21" outlineLevel="1" x14ac:dyDescent="0.2">
      <c r="A126" s="118"/>
      <c r="C126" s="116" t="s">
        <v>430</v>
      </c>
      <c r="F126" s="195"/>
      <c r="G126" s="166"/>
      <c r="H126" s="83"/>
      <c r="I126" s="83"/>
      <c r="J126" s="83"/>
      <c r="K126" s="15"/>
      <c r="L126" s="167">
        <f t="shared" si="50"/>
        <v>0</v>
      </c>
      <c r="M126" s="148">
        <f t="shared" si="51"/>
        <v>0</v>
      </c>
      <c r="N126" s="148">
        <f t="shared" si="51"/>
        <v>0</v>
      </c>
      <c r="O126" s="148">
        <f t="shared" si="51"/>
        <v>0</v>
      </c>
      <c r="P126" s="150">
        <f t="shared" si="52"/>
        <v>0</v>
      </c>
      <c r="Q126" s="151"/>
      <c r="R126" s="152">
        <f t="shared" si="53"/>
        <v>0</v>
      </c>
      <c r="S126" s="173" t="str">
        <f t="shared" si="54"/>
        <v/>
      </c>
      <c r="T126" s="154">
        <f t="shared" si="55"/>
        <v>0</v>
      </c>
      <c r="U126" s="170" t="str">
        <f t="shared" si="56"/>
        <v/>
      </c>
    </row>
    <row r="127" spans="1:21" outlineLevel="1" x14ac:dyDescent="0.2">
      <c r="A127" s="118"/>
      <c r="C127" s="116" t="s">
        <v>431</v>
      </c>
      <c r="F127" s="195"/>
      <c r="G127" s="166">
        <v>789</v>
      </c>
      <c r="H127" s="83"/>
      <c r="I127" s="83"/>
      <c r="J127" s="83"/>
      <c r="K127" s="15"/>
      <c r="L127" s="167">
        <f t="shared" si="50"/>
        <v>0</v>
      </c>
      <c r="M127" s="148">
        <f t="shared" si="51"/>
        <v>0</v>
      </c>
      <c r="N127" s="148">
        <f t="shared" si="51"/>
        <v>0</v>
      </c>
      <c r="O127" s="148">
        <f t="shared" si="51"/>
        <v>0</v>
      </c>
      <c r="P127" s="150">
        <f t="shared" si="52"/>
        <v>0</v>
      </c>
      <c r="Q127" s="151"/>
      <c r="R127" s="152">
        <f t="shared" si="53"/>
        <v>0</v>
      </c>
      <c r="S127" s="173" t="str">
        <f t="shared" si="54"/>
        <v/>
      </c>
      <c r="T127" s="154">
        <f t="shared" si="55"/>
        <v>-789</v>
      </c>
      <c r="U127" s="170">
        <f t="shared" si="56"/>
        <v>0</v>
      </c>
    </row>
    <row r="128" spans="1:21" outlineLevel="1" x14ac:dyDescent="0.2">
      <c r="A128" s="118"/>
      <c r="C128" s="116" t="s">
        <v>432</v>
      </c>
      <c r="F128" s="195"/>
      <c r="G128" s="166"/>
      <c r="H128" s="83"/>
      <c r="I128" s="83"/>
      <c r="J128" s="83"/>
      <c r="K128" s="15"/>
      <c r="L128" s="167">
        <f t="shared" si="50"/>
        <v>0</v>
      </c>
      <c r="M128" s="148">
        <f t="shared" si="51"/>
        <v>0</v>
      </c>
      <c r="N128" s="148">
        <f t="shared" si="51"/>
        <v>0</v>
      </c>
      <c r="O128" s="148">
        <f t="shared" si="51"/>
        <v>0</v>
      </c>
      <c r="P128" s="150">
        <f t="shared" si="52"/>
        <v>0</v>
      </c>
      <c r="Q128" s="151"/>
      <c r="R128" s="152">
        <f t="shared" si="53"/>
        <v>0</v>
      </c>
      <c r="S128" s="173" t="str">
        <f t="shared" si="54"/>
        <v/>
      </c>
      <c r="T128" s="154">
        <f t="shared" si="55"/>
        <v>0</v>
      </c>
      <c r="U128" s="170" t="str">
        <f t="shared" si="56"/>
        <v/>
      </c>
    </row>
    <row r="129" spans="1:21" outlineLevel="1" x14ac:dyDescent="0.2">
      <c r="A129" s="118"/>
      <c r="C129" s="116" t="s">
        <v>433</v>
      </c>
      <c r="F129" s="195"/>
      <c r="G129" s="166"/>
      <c r="H129" s="83"/>
      <c r="I129" s="83"/>
      <c r="J129" s="83"/>
      <c r="K129" s="15"/>
      <c r="L129" s="167">
        <f t="shared" si="50"/>
        <v>0</v>
      </c>
      <c r="M129" s="148">
        <f t="shared" si="51"/>
        <v>0</v>
      </c>
      <c r="N129" s="148">
        <f t="shared" si="51"/>
        <v>0</v>
      </c>
      <c r="O129" s="148">
        <f t="shared" si="51"/>
        <v>0</v>
      </c>
      <c r="P129" s="150">
        <f t="shared" si="52"/>
        <v>0</v>
      </c>
      <c r="Q129" s="151"/>
      <c r="R129" s="152">
        <f t="shared" si="53"/>
        <v>0</v>
      </c>
      <c r="S129" s="173" t="str">
        <f t="shared" si="54"/>
        <v/>
      </c>
      <c r="T129" s="154">
        <f t="shared" si="55"/>
        <v>0</v>
      </c>
      <c r="U129" s="170" t="str">
        <f t="shared" si="56"/>
        <v/>
      </c>
    </row>
    <row r="130" spans="1:21" outlineLevel="1" x14ac:dyDescent="0.2">
      <c r="A130" s="118"/>
      <c r="F130" s="195"/>
      <c r="G130" s="166"/>
      <c r="H130" s="83"/>
      <c r="I130" s="83"/>
      <c r="J130" s="83"/>
      <c r="K130" s="15"/>
      <c r="L130" s="167">
        <f t="shared" si="50"/>
        <v>0</v>
      </c>
      <c r="M130" s="148">
        <f t="shared" si="51"/>
        <v>0</v>
      </c>
      <c r="N130" s="148">
        <f t="shared" si="51"/>
        <v>0</v>
      </c>
      <c r="O130" s="148">
        <f t="shared" si="51"/>
        <v>0</v>
      </c>
      <c r="P130" s="150">
        <f t="shared" si="52"/>
        <v>0</v>
      </c>
      <c r="Q130" s="151"/>
      <c r="R130" s="152">
        <f t="shared" si="53"/>
        <v>0</v>
      </c>
      <c r="S130" s="173" t="str">
        <f t="shared" si="54"/>
        <v/>
      </c>
      <c r="T130" s="154">
        <f t="shared" si="55"/>
        <v>0</v>
      </c>
      <c r="U130" s="170" t="str">
        <f t="shared" si="56"/>
        <v/>
      </c>
    </row>
    <row r="131" spans="1:21" outlineLevel="1" x14ac:dyDescent="0.2">
      <c r="A131" s="118"/>
      <c r="F131" s="195"/>
      <c r="G131" s="166"/>
      <c r="H131" s="83"/>
      <c r="I131" s="83"/>
      <c r="J131" s="83"/>
      <c r="K131" s="15"/>
      <c r="L131" s="167"/>
      <c r="M131" s="148"/>
      <c r="N131" s="148"/>
      <c r="O131" s="148"/>
      <c r="P131" s="150"/>
      <c r="Q131" s="151"/>
      <c r="R131" s="152"/>
      <c r="S131" s="153"/>
      <c r="T131" s="154"/>
      <c r="U131" s="170"/>
    </row>
    <row r="132" spans="1:21" x14ac:dyDescent="0.2">
      <c r="A132" s="118"/>
      <c r="C132" s="118" t="s">
        <v>305</v>
      </c>
      <c r="F132" s="195"/>
      <c r="G132" s="157">
        <f>SUM(G115:G131)</f>
        <v>4799</v>
      </c>
      <c r="H132" s="84">
        <f>SUM(H115:H131)</f>
        <v>0</v>
      </c>
      <c r="I132" s="84">
        <f>SUM(I115:I131)</f>
        <v>0</v>
      </c>
      <c r="J132" s="84">
        <f>SUM(J115:J131)</f>
        <v>0</v>
      </c>
      <c r="K132" s="290">
        <f>SUM(K115:K131)</f>
        <v>0</v>
      </c>
      <c r="L132" s="159">
        <f t="shared" ref="L132:R132" si="57">SUM(L115:L131)</f>
        <v>0</v>
      </c>
      <c r="M132" s="158">
        <f t="shared" si="57"/>
        <v>0</v>
      </c>
      <c r="N132" s="158">
        <f t="shared" si="57"/>
        <v>0</v>
      </c>
      <c r="O132" s="158">
        <f t="shared" si="57"/>
        <v>0</v>
      </c>
      <c r="P132" s="160">
        <f t="shared" si="57"/>
        <v>0</v>
      </c>
      <c r="Q132" s="161">
        <f t="shared" si="57"/>
        <v>19800</v>
      </c>
      <c r="R132" s="162">
        <f t="shared" si="57"/>
        <v>-19800</v>
      </c>
      <c r="S132" s="171">
        <f>IF(Q132=0,"",P132/Q132)</f>
        <v>0</v>
      </c>
      <c r="T132" s="164">
        <f>SUM(T115:T131)</f>
        <v>-4799</v>
      </c>
      <c r="U132" s="205">
        <f>IF(G132=0,"",P132/G132)</f>
        <v>0</v>
      </c>
    </row>
    <row r="133" spans="1:21" x14ac:dyDescent="0.2">
      <c r="A133" s="118"/>
      <c r="F133" s="195"/>
      <c r="G133" s="166"/>
      <c r="H133" s="83"/>
      <c r="I133" s="83"/>
      <c r="J133" s="83"/>
      <c r="K133" s="15"/>
      <c r="L133" s="167"/>
      <c r="M133" s="148"/>
      <c r="N133" s="148"/>
      <c r="O133" s="148"/>
      <c r="P133" s="150"/>
      <c r="Q133" s="151"/>
      <c r="R133" s="152"/>
      <c r="S133" s="153"/>
      <c r="T133" s="154"/>
      <c r="U133" s="170"/>
    </row>
    <row r="134" spans="1:21" x14ac:dyDescent="0.2">
      <c r="B134" s="118" t="s">
        <v>300</v>
      </c>
      <c r="F134" s="195"/>
      <c r="G134" s="166"/>
      <c r="H134" s="83"/>
      <c r="I134" s="83"/>
      <c r="J134" s="83"/>
      <c r="K134" s="15"/>
      <c r="L134" s="167"/>
      <c r="M134" s="148"/>
      <c r="N134" s="148"/>
      <c r="O134" s="148"/>
      <c r="P134" s="150"/>
      <c r="Q134" s="151"/>
      <c r="R134" s="152">
        <f>P134-Q134</f>
        <v>0</v>
      </c>
      <c r="S134" s="173" t="str">
        <f>IF(Q134=0,"",P134/Q134)</f>
        <v/>
      </c>
      <c r="T134" s="154">
        <f>P134-G134</f>
        <v>0</v>
      </c>
      <c r="U134" s="170" t="str">
        <f>IF(G134=0,"",P134/G134)</f>
        <v/>
      </c>
    </row>
    <row r="135" spans="1:21" x14ac:dyDescent="0.2">
      <c r="C135" s="116" t="s">
        <v>306</v>
      </c>
      <c r="F135" s="195"/>
      <c r="G135" s="166">
        <v>8234</v>
      </c>
      <c r="H135" s="85"/>
      <c r="I135" s="83">
        <v>8066</v>
      </c>
      <c r="J135" s="83">
        <v>8066</v>
      </c>
      <c r="K135" s="15">
        <v>8066</v>
      </c>
      <c r="L135" s="167">
        <f>+H135</f>
        <v>0</v>
      </c>
      <c r="M135" s="148">
        <f t="shared" ref="M135:O138" si="58">IF(I135=0,0,I135-H135)</f>
        <v>8066</v>
      </c>
      <c r="N135" s="148">
        <f t="shared" si="58"/>
        <v>0</v>
      </c>
      <c r="O135" s="148">
        <f t="shared" si="58"/>
        <v>0</v>
      </c>
      <c r="P135" s="150">
        <f>SUM(L135:O135)</f>
        <v>8066</v>
      </c>
      <c r="Q135" s="151">
        <v>8234</v>
      </c>
      <c r="R135" s="152">
        <f>P135-Q135</f>
        <v>-168</v>
      </c>
      <c r="S135" s="173">
        <f>IF(Q135=0,"",P135/Q135)</f>
        <v>0.97959679378188003</v>
      </c>
      <c r="T135" s="154">
        <f>P135-G135</f>
        <v>-168</v>
      </c>
      <c r="U135" s="170">
        <f>IF(G135=0,"",P135/G135)</f>
        <v>0.97959679378188003</v>
      </c>
    </row>
    <row r="136" spans="1:21" x14ac:dyDescent="0.2">
      <c r="C136" s="116" t="s">
        <v>307</v>
      </c>
      <c r="F136" s="195"/>
      <c r="G136" s="166"/>
      <c r="H136" s="85"/>
      <c r="I136" s="85"/>
      <c r="J136" s="83"/>
      <c r="K136" s="15"/>
      <c r="L136" s="167">
        <f>+H136</f>
        <v>0</v>
      </c>
      <c r="M136" s="148">
        <f t="shared" si="58"/>
        <v>0</v>
      </c>
      <c r="N136" s="148">
        <f t="shared" si="58"/>
        <v>0</v>
      </c>
      <c r="O136" s="148">
        <f t="shared" si="58"/>
        <v>0</v>
      </c>
      <c r="P136" s="150">
        <f>SUM(L136:O136)</f>
        <v>0</v>
      </c>
      <c r="Q136" s="151"/>
      <c r="R136" s="152">
        <f>P136-Q136</f>
        <v>0</v>
      </c>
      <c r="S136" s="173" t="str">
        <f>IF(Q136=0,"",P136/Q136)</f>
        <v/>
      </c>
      <c r="T136" s="154">
        <f>P136-G136</f>
        <v>0</v>
      </c>
      <c r="U136" s="170" t="str">
        <f>IF(G136=0,"",P136/G136)</f>
        <v/>
      </c>
    </row>
    <row r="137" spans="1:21" x14ac:dyDescent="0.2">
      <c r="C137" s="116" t="s">
        <v>308</v>
      </c>
      <c r="F137" s="195"/>
      <c r="G137" s="166"/>
      <c r="H137" s="85"/>
      <c r="I137" s="85"/>
      <c r="J137" s="85"/>
      <c r="K137" s="15"/>
      <c r="L137" s="167">
        <f>+H137</f>
        <v>0</v>
      </c>
      <c r="M137" s="148">
        <f t="shared" si="58"/>
        <v>0</v>
      </c>
      <c r="N137" s="148">
        <f t="shared" si="58"/>
        <v>0</v>
      </c>
      <c r="O137" s="148">
        <f t="shared" si="58"/>
        <v>0</v>
      </c>
      <c r="P137" s="150">
        <f>SUM(L137:O137)</f>
        <v>0</v>
      </c>
      <c r="Q137" s="151"/>
      <c r="R137" s="152">
        <f>P137-Q137</f>
        <v>0</v>
      </c>
      <c r="S137" s="173" t="str">
        <f>IF(Q137=0,"",P137/Q137)</f>
        <v/>
      </c>
      <c r="T137" s="154">
        <f>P137-G137</f>
        <v>0</v>
      </c>
      <c r="U137" s="170" t="str">
        <f>IF(G137=0,"",P137/G137)</f>
        <v/>
      </c>
    </row>
    <row r="138" spans="1:21" x14ac:dyDescent="0.2">
      <c r="C138" s="116" t="s">
        <v>309</v>
      </c>
      <c r="F138" s="195"/>
      <c r="G138" s="166"/>
      <c r="H138" s="85"/>
      <c r="I138" s="85"/>
      <c r="J138" s="85"/>
      <c r="K138" s="15"/>
      <c r="L138" s="167">
        <f>+H138</f>
        <v>0</v>
      </c>
      <c r="M138" s="148">
        <f t="shared" si="58"/>
        <v>0</v>
      </c>
      <c r="N138" s="148">
        <f t="shared" si="58"/>
        <v>0</v>
      </c>
      <c r="O138" s="148">
        <f t="shared" si="58"/>
        <v>0</v>
      </c>
      <c r="P138" s="150">
        <f>SUM(L138:O138)</f>
        <v>0</v>
      </c>
      <c r="Q138" s="151"/>
      <c r="R138" s="152">
        <f>P138-Q138</f>
        <v>0</v>
      </c>
      <c r="S138" s="173" t="str">
        <f>IF(Q138=0,"",P138/Q138)</f>
        <v/>
      </c>
      <c r="T138" s="154">
        <f>P138-G138</f>
        <v>0</v>
      </c>
      <c r="U138" s="170" t="str">
        <f>IF(G138=0,"",P138/G138)</f>
        <v/>
      </c>
    </row>
    <row r="139" spans="1:21" x14ac:dyDescent="0.2">
      <c r="F139" s="195"/>
      <c r="G139" s="166"/>
      <c r="H139" s="83"/>
      <c r="I139" s="83"/>
      <c r="J139" s="83"/>
      <c r="K139" s="15"/>
      <c r="L139" s="167"/>
      <c r="M139" s="148"/>
      <c r="N139" s="148"/>
      <c r="O139" s="148"/>
      <c r="P139" s="150"/>
      <c r="Q139" s="151"/>
      <c r="R139" s="152"/>
      <c r="S139" s="153"/>
      <c r="T139" s="154"/>
      <c r="U139" s="170"/>
    </row>
    <row r="140" spans="1:21" x14ac:dyDescent="0.2">
      <c r="C140" s="118" t="s">
        <v>310</v>
      </c>
      <c r="F140" s="195">
        <v>8520</v>
      </c>
      <c r="G140" s="157">
        <f>SUM(G135:G139)</f>
        <v>8234</v>
      </c>
      <c r="H140" s="84">
        <f>SUM(H135:H139)</f>
        <v>0</v>
      </c>
      <c r="I140" s="84">
        <f>SUM(I135:I139)</f>
        <v>8066</v>
      </c>
      <c r="J140" s="84">
        <f>SUM(J135:J139)</f>
        <v>8066</v>
      </c>
      <c r="K140" s="290">
        <f>SUM(K135:K139)</f>
        <v>8066</v>
      </c>
      <c r="L140" s="159">
        <f t="shared" ref="L140:Q140" si="59">SUM(L135:L139)</f>
        <v>0</v>
      </c>
      <c r="M140" s="158">
        <f t="shared" si="59"/>
        <v>8066</v>
      </c>
      <c r="N140" s="158">
        <f t="shared" si="59"/>
        <v>0</v>
      </c>
      <c r="O140" s="158">
        <f t="shared" si="59"/>
        <v>0</v>
      </c>
      <c r="P140" s="160">
        <f t="shared" si="59"/>
        <v>8066</v>
      </c>
      <c r="Q140" s="161">
        <f t="shared" si="59"/>
        <v>8234</v>
      </c>
      <c r="R140" s="162">
        <f>SUM(R134:R139)</f>
        <v>-168</v>
      </c>
      <c r="S140" s="171">
        <f>IF(Q140=0,"",P140/Q140)</f>
        <v>0.97959679378188003</v>
      </c>
      <c r="T140" s="164">
        <f>SUM(T134:T139)</f>
        <v>-168</v>
      </c>
      <c r="U140" s="205">
        <f>IF(G140=0,"",P140/G140)</f>
        <v>0.97959679378188003</v>
      </c>
    </row>
    <row r="141" spans="1:21" x14ac:dyDescent="0.2">
      <c r="F141" s="195"/>
      <c r="G141" s="166"/>
      <c r="H141" s="83"/>
      <c r="I141" s="83"/>
      <c r="J141" s="83"/>
      <c r="K141" s="15"/>
      <c r="L141" s="167"/>
      <c r="M141" s="148"/>
      <c r="N141" s="148"/>
      <c r="O141" s="148"/>
      <c r="P141" s="150"/>
      <c r="Q141" s="151"/>
      <c r="R141" s="152"/>
      <c r="S141" s="153"/>
      <c r="T141" s="154"/>
      <c r="U141" s="170"/>
    </row>
    <row r="142" spans="1:21" x14ac:dyDescent="0.2">
      <c r="B142" s="118" t="s">
        <v>298</v>
      </c>
      <c r="F142" s="195"/>
      <c r="G142" s="166"/>
      <c r="H142" s="83"/>
      <c r="I142" s="83"/>
      <c r="J142" s="83"/>
      <c r="K142" s="15"/>
      <c r="L142" s="167"/>
      <c r="M142" s="148"/>
      <c r="N142" s="148"/>
      <c r="O142" s="148"/>
      <c r="P142" s="150"/>
      <c r="Q142" s="151"/>
      <c r="R142" s="152"/>
      <c r="S142" s="153"/>
      <c r="T142" s="154"/>
      <c r="U142" s="170"/>
    </row>
    <row r="143" spans="1:21" x14ac:dyDescent="0.2">
      <c r="C143" s="116" t="s">
        <v>311</v>
      </c>
      <c r="F143" s="195">
        <v>8130</v>
      </c>
      <c r="G143" s="166">
        <v>2002</v>
      </c>
      <c r="H143" s="85">
        <v>554</v>
      </c>
      <c r="I143" s="85">
        <v>1118</v>
      </c>
      <c r="J143" s="83">
        <v>1687</v>
      </c>
      <c r="K143" s="15">
        <v>2258</v>
      </c>
      <c r="L143" s="167">
        <f>+H143</f>
        <v>554</v>
      </c>
      <c r="M143" s="148">
        <f t="shared" ref="M143:O147" si="60">IF(I143=0,0,I143-H143)</f>
        <v>564</v>
      </c>
      <c r="N143" s="148">
        <f t="shared" si="60"/>
        <v>569</v>
      </c>
      <c r="O143" s="148">
        <f t="shared" si="60"/>
        <v>571</v>
      </c>
      <c r="P143" s="150">
        <f>SUM(L143:O143)</f>
        <v>2258</v>
      </c>
      <c r="Q143" s="151">
        <v>2002</v>
      </c>
      <c r="R143" s="152">
        <f>P143-Q143</f>
        <v>256</v>
      </c>
      <c r="S143" s="173">
        <f>IF(Q143=0,"",P143/Q143)</f>
        <v>1.127872127872128</v>
      </c>
      <c r="T143" s="154">
        <f>P143-G143</f>
        <v>256</v>
      </c>
      <c r="U143" s="170">
        <f>IF(G143=0,"",P143/G143)</f>
        <v>1.127872127872128</v>
      </c>
    </row>
    <row r="144" spans="1:21" x14ac:dyDescent="0.2">
      <c r="C144" s="116" t="s">
        <v>312</v>
      </c>
      <c r="F144" s="195">
        <v>8221</v>
      </c>
      <c r="G144" s="166">
        <v>4166</v>
      </c>
      <c r="H144" s="83">
        <v>819</v>
      </c>
      <c r="I144" s="83">
        <v>1779</v>
      </c>
      <c r="J144" s="83">
        <v>2967</v>
      </c>
      <c r="K144" s="15">
        <v>4653</v>
      </c>
      <c r="L144" s="167">
        <f>+H144</f>
        <v>819</v>
      </c>
      <c r="M144" s="148">
        <f t="shared" si="60"/>
        <v>960</v>
      </c>
      <c r="N144" s="148">
        <f t="shared" si="60"/>
        <v>1188</v>
      </c>
      <c r="O144" s="148">
        <f t="shared" si="60"/>
        <v>1686</v>
      </c>
      <c r="P144" s="150">
        <f>SUM(L144:O144)</f>
        <v>4653</v>
      </c>
      <c r="Q144" s="151">
        <v>4166</v>
      </c>
      <c r="R144" s="152">
        <f>P144-Q144</f>
        <v>487</v>
      </c>
      <c r="S144" s="173">
        <f>IF(Q144=0,"",P144/Q144)</f>
        <v>1.1168987037926068</v>
      </c>
      <c r="T144" s="154">
        <f>P144-G144</f>
        <v>487</v>
      </c>
      <c r="U144" s="170">
        <f>IF(G144=0,"",P144/G144)</f>
        <v>1.1168987037926068</v>
      </c>
    </row>
    <row r="145" spans="2:21" x14ac:dyDescent="0.2">
      <c r="C145" s="116" t="s">
        <v>313</v>
      </c>
      <c r="F145" s="195">
        <v>8223</v>
      </c>
      <c r="G145" s="166"/>
      <c r="H145" s="83"/>
      <c r="I145" s="83"/>
      <c r="J145" s="83"/>
      <c r="K145" s="15"/>
      <c r="L145" s="167">
        <f>+H145</f>
        <v>0</v>
      </c>
      <c r="M145" s="148">
        <f t="shared" si="60"/>
        <v>0</v>
      </c>
      <c r="N145" s="148">
        <f t="shared" si="60"/>
        <v>0</v>
      </c>
      <c r="O145" s="148">
        <f t="shared" si="60"/>
        <v>0</v>
      </c>
      <c r="P145" s="150">
        <f>SUM(L145:O145)</f>
        <v>0</v>
      </c>
      <c r="Q145" s="151"/>
      <c r="R145" s="152">
        <f>P145-Q145</f>
        <v>0</v>
      </c>
      <c r="S145" s="173" t="str">
        <f>IF(Q145=0,"",P145/Q145)</f>
        <v/>
      </c>
      <c r="T145" s="154">
        <f>P145-G145</f>
        <v>0</v>
      </c>
      <c r="U145" s="170" t="str">
        <f>IF(G145=0,"",P145/G145)</f>
        <v/>
      </c>
    </row>
    <row r="146" spans="2:21" x14ac:dyDescent="0.2">
      <c r="C146" s="116" t="s">
        <v>314</v>
      </c>
      <c r="F146" s="195"/>
      <c r="G146" s="166"/>
      <c r="H146" s="83"/>
      <c r="I146" s="83"/>
      <c r="J146" s="83"/>
      <c r="K146" s="15"/>
      <c r="L146" s="167">
        <f>+H146</f>
        <v>0</v>
      </c>
      <c r="M146" s="148">
        <f t="shared" si="60"/>
        <v>0</v>
      </c>
      <c r="N146" s="148">
        <f t="shared" si="60"/>
        <v>0</v>
      </c>
      <c r="O146" s="148">
        <f t="shared" si="60"/>
        <v>0</v>
      </c>
      <c r="P146" s="150">
        <f>SUM(L146:O146)</f>
        <v>0</v>
      </c>
      <c r="Q146" s="151"/>
      <c r="R146" s="152">
        <f>P146-Q146</f>
        <v>0</v>
      </c>
      <c r="S146" s="173" t="str">
        <f>IF(Q146=0,"",P146/Q146)</f>
        <v/>
      </c>
      <c r="T146" s="154">
        <f>P146-G146</f>
        <v>0</v>
      </c>
      <c r="U146" s="170" t="str">
        <f>IF(G146=0,"",P146/G146)</f>
        <v/>
      </c>
    </row>
    <row r="147" spans="2:21" x14ac:dyDescent="0.2">
      <c r="C147" s="116" t="s">
        <v>315</v>
      </c>
      <c r="F147" s="195"/>
      <c r="G147" s="166">
        <v>804</v>
      </c>
      <c r="H147" s="83">
        <v>398</v>
      </c>
      <c r="I147" s="83">
        <v>617</v>
      </c>
      <c r="J147" s="83">
        <v>1053</v>
      </c>
      <c r="K147" s="15">
        <v>1299</v>
      </c>
      <c r="L147" s="167">
        <f>+H147</f>
        <v>398</v>
      </c>
      <c r="M147" s="148">
        <f t="shared" si="60"/>
        <v>219</v>
      </c>
      <c r="N147" s="148">
        <f t="shared" si="60"/>
        <v>436</v>
      </c>
      <c r="O147" s="148">
        <f t="shared" si="60"/>
        <v>246</v>
      </c>
      <c r="P147" s="150">
        <f>SUM(L147:O147)</f>
        <v>1299</v>
      </c>
      <c r="Q147" s="151">
        <v>804</v>
      </c>
      <c r="R147" s="152">
        <f>P147-Q147</f>
        <v>495</v>
      </c>
      <c r="S147" s="173">
        <f>IF(Q147=0,"",P147/Q147)</f>
        <v>1.6156716417910448</v>
      </c>
      <c r="T147" s="154">
        <f>P147-G147</f>
        <v>495</v>
      </c>
      <c r="U147" s="170">
        <f>IF(G147=0,"",P147/G147)</f>
        <v>1.6156716417910448</v>
      </c>
    </row>
    <row r="148" spans="2:21" x14ac:dyDescent="0.2">
      <c r="F148" s="195"/>
      <c r="G148" s="166"/>
      <c r="H148" s="83"/>
      <c r="I148" s="83"/>
      <c r="J148" s="83"/>
      <c r="K148" s="15"/>
      <c r="L148" s="167"/>
      <c r="M148" s="148"/>
      <c r="N148" s="148"/>
      <c r="O148" s="148"/>
      <c r="P148" s="150"/>
      <c r="Q148" s="151"/>
      <c r="R148" s="152"/>
      <c r="S148" s="153"/>
      <c r="T148" s="154"/>
      <c r="U148" s="170"/>
    </row>
    <row r="149" spans="2:21" x14ac:dyDescent="0.2">
      <c r="C149" s="118" t="s">
        <v>316</v>
      </c>
      <c r="F149" s="195"/>
      <c r="G149" s="157">
        <f>SUM(G143:G148)</f>
        <v>6972</v>
      </c>
      <c r="H149" s="84">
        <f>SUM(H143:H148)</f>
        <v>1771</v>
      </c>
      <c r="I149" s="84">
        <f t="shared" ref="I149" si="61">SUM(I143:I148)</f>
        <v>3514</v>
      </c>
      <c r="J149" s="84">
        <f>SUM(J143:J148)</f>
        <v>5707</v>
      </c>
      <c r="K149" s="290">
        <f>SUM(K143:K148)</f>
        <v>8210</v>
      </c>
      <c r="L149" s="159">
        <f t="shared" ref="L149:R149" si="62">SUM(L143:L148)</f>
        <v>1771</v>
      </c>
      <c r="M149" s="158">
        <f t="shared" si="62"/>
        <v>1743</v>
      </c>
      <c r="N149" s="158">
        <f t="shared" si="62"/>
        <v>2193</v>
      </c>
      <c r="O149" s="158">
        <f t="shared" si="62"/>
        <v>2503</v>
      </c>
      <c r="P149" s="160">
        <f t="shared" si="62"/>
        <v>8210</v>
      </c>
      <c r="Q149" s="161">
        <f t="shared" si="62"/>
        <v>6972</v>
      </c>
      <c r="R149" s="162">
        <f t="shared" si="62"/>
        <v>1238</v>
      </c>
      <c r="S149" s="171">
        <f>IF(Q149=0,"",P149/Q149)</f>
        <v>1.1775674125071716</v>
      </c>
      <c r="T149" s="164">
        <f>SUM(T143:T148)</f>
        <v>1238</v>
      </c>
      <c r="U149" s="205">
        <f>IF(G149=0,"",P149/G149)</f>
        <v>1.1775674125071716</v>
      </c>
    </row>
    <row r="150" spans="2:21" x14ac:dyDescent="0.2">
      <c r="F150" s="195"/>
      <c r="G150" s="166"/>
      <c r="H150" s="83"/>
      <c r="I150" s="83"/>
      <c r="J150" s="83"/>
      <c r="K150" s="15"/>
      <c r="L150" s="167"/>
      <c r="M150" s="148"/>
      <c r="N150" s="148"/>
      <c r="O150" s="148"/>
      <c r="P150" s="150"/>
      <c r="Q150" s="151"/>
      <c r="R150" s="152"/>
      <c r="S150" s="153"/>
      <c r="T150" s="154"/>
      <c r="U150" s="170"/>
    </row>
    <row r="151" spans="2:21" x14ac:dyDescent="0.2">
      <c r="B151" s="118" t="s">
        <v>299</v>
      </c>
      <c r="F151" s="195"/>
      <c r="G151" s="166"/>
      <c r="H151" s="83"/>
      <c r="I151" s="83"/>
      <c r="J151" s="83"/>
      <c r="K151" s="15"/>
      <c r="L151" s="167"/>
      <c r="M151" s="148"/>
      <c r="N151" s="148"/>
      <c r="O151" s="148"/>
      <c r="P151" s="150"/>
      <c r="Q151" s="151"/>
      <c r="R151" s="152"/>
      <c r="S151" s="153"/>
      <c r="T151" s="154"/>
      <c r="U151" s="170"/>
    </row>
    <row r="152" spans="2:21" x14ac:dyDescent="0.2">
      <c r="C152" s="116" t="s">
        <v>317</v>
      </c>
      <c r="F152" s="195" t="s">
        <v>318</v>
      </c>
      <c r="G152" s="166"/>
      <c r="H152" s="83"/>
      <c r="I152" s="83"/>
      <c r="J152" s="83"/>
      <c r="K152" s="15"/>
      <c r="L152" s="167">
        <f>+H152</f>
        <v>0</v>
      </c>
      <c r="M152" s="148">
        <f t="shared" ref="M152:O156" si="63">IF(I152=0,0,I152-H152)</f>
        <v>0</v>
      </c>
      <c r="N152" s="148">
        <f t="shared" si="63"/>
        <v>0</v>
      </c>
      <c r="O152" s="148">
        <f t="shared" si="63"/>
        <v>0</v>
      </c>
      <c r="P152" s="150">
        <f>SUM(L152:O152)</f>
        <v>0</v>
      </c>
      <c r="Q152" s="151"/>
      <c r="R152" s="152">
        <f>P152-Q152</f>
        <v>0</v>
      </c>
      <c r="S152" s="173" t="str">
        <f>IF(Q152=0,"",P152/Q152)</f>
        <v/>
      </c>
      <c r="T152" s="154">
        <f>P152-G152</f>
        <v>0</v>
      </c>
      <c r="U152" s="170" t="str">
        <f>IF(G152=0,"",P152/G152)</f>
        <v/>
      </c>
    </row>
    <row r="153" spans="2:21" x14ac:dyDescent="0.2">
      <c r="C153" s="116" t="s">
        <v>319</v>
      </c>
      <c r="F153" s="195" t="s">
        <v>320</v>
      </c>
      <c r="G153" s="166">
        <v>798</v>
      </c>
      <c r="H153" s="83">
        <v>672</v>
      </c>
      <c r="I153" s="83">
        <f>361+723</f>
        <v>1084</v>
      </c>
      <c r="J153" s="83">
        <v>1263</v>
      </c>
      <c r="K153" s="15">
        <v>1290</v>
      </c>
      <c r="L153" s="167">
        <f>+H153</f>
        <v>672</v>
      </c>
      <c r="M153" s="148">
        <f t="shared" si="63"/>
        <v>412</v>
      </c>
      <c r="N153" s="148">
        <f t="shared" si="63"/>
        <v>179</v>
      </c>
      <c r="O153" s="148">
        <f t="shared" si="63"/>
        <v>27</v>
      </c>
      <c r="P153" s="150">
        <f>SUM(L153:O153)</f>
        <v>1290</v>
      </c>
      <c r="Q153" s="151">
        <v>798</v>
      </c>
      <c r="R153" s="152">
        <f>P153-Q153</f>
        <v>492</v>
      </c>
      <c r="S153" s="173">
        <f>IF(Q153=0,"",P153/Q153)</f>
        <v>1.6165413533834587</v>
      </c>
      <c r="T153" s="154">
        <f>P153-G153</f>
        <v>492</v>
      </c>
      <c r="U153" s="170">
        <f>IF(G153=0,"",P153/G153)</f>
        <v>1.6165413533834587</v>
      </c>
    </row>
    <row r="154" spans="2:21" x14ac:dyDescent="0.2">
      <c r="C154" s="116" t="s">
        <v>170</v>
      </c>
      <c r="F154" s="195" t="s">
        <v>321</v>
      </c>
      <c r="G154" s="166">
        <f>111.71+941</f>
        <v>1052.71</v>
      </c>
      <c r="H154" s="83"/>
      <c r="I154" s="83">
        <v>45</v>
      </c>
      <c r="J154" s="83">
        <f>234+119</f>
        <v>353</v>
      </c>
      <c r="K154" s="15">
        <f>269+12+119</f>
        <v>400</v>
      </c>
      <c r="L154" s="167">
        <f>+H154</f>
        <v>0</v>
      </c>
      <c r="M154" s="148">
        <f t="shared" si="63"/>
        <v>45</v>
      </c>
      <c r="N154" s="148">
        <f t="shared" si="63"/>
        <v>308</v>
      </c>
      <c r="O154" s="148">
        <f t="shared" si="63"/>
        <v>47</v>
      </c>
      <c r="P154" s="150">
        <f>SUM(L154:O154)</f>
        <v>400</v>
      </c>
      <c r="Q154" s="151">
        <v>760</v>
      </c>
      <c r="R154" s="152">
        <f>P154-Q154</f>
        <v>-360</v>
      </c>
      <c r="S154" s="173">
        <f>IF(Q154=0,"",P154/Q154)</f>
        <v>0.52631578947368418</v>
      </c>
      <c r="T154" s="154">
        <f>P154-G154</f>
        <v>-652.71</v>
      </c>
      <c r="U154" s="170">
        <f>IF(G154=0,"",P154/G154)</f>
        <v>0.37997169210893789</v>
      </c>
    </row>
    <row r="155" spans="2:21" x14ac:dyDescent="0.2">
      <c r="C155" s="116" t="s">
        <v>322</v>
      </c>
      <c r="F155" s="195" t="s">
        <v>323</v>
      </c>
      <c r="G155" s="166"/>
      <c r="H155" s="83"/>
      <c r="I155" s="83"/>
      <c r="J155" s="83"/>
      <c r="K155" s="15"/>
      <c r="L155" s="167">
        <f>+H155</f>
        <v>0</v>
      </c>
      <c r="M155" s="148">
        <f t="shared" si="63"/>
        <v>0</v>
      </c>
      <c r="N155" s="148">
        <f t="shared" si="63"/>
        <v>0</v>
      </c>
      <c r="O155" s="148">
        <f t="shared" si="63"/>
        <v>0</v>
      </c>
      <c r="P155" s="150">
        <f>SUM(L155:O155)</f>
        <v>0</v>
      </c>
      <c r="Q155" s="151">
        <v>941</v>
      </c>
      <c r="R155" s="152">
        <f>P155-Q155</f>
        <v>-941</v>
      </c>
      <c r="S155" s="173">
        <f>IF(Q155=0,"",P155/Q155)</f>
        <v>0</v>
      </c>
      <c r="T155" s="154">
        <f>P155-G155</f>
        <v>0</v>
      </c>
      <c r="U155" s="170" t="str">
        <f>IF(G155=0,"",P155/G155)</f>
        <v/>
      </c>
    </row>
    <row r="156" spans="2:21" x14ac:dyDescent="0.2">
      <c r="C156" s="116" t="s">
        <v>315</v>
      </c>
      <c r="F156" s="195"/>
      <c r="G156" s="166">
        <f>131+760</f>
        <v>891</v>
      </c>
      <c r="H156" s="83">
        <v>225</v>
      </c>
      <c r="I156" s="83">
        <f>268+92</f>
        <v>360</v>
      </c>
      <c r="J156" s="83">
        <v>783</v>
      </c>
      <c r="K156" s="15">
        <f>469+361</f>
        <v>830</v>
      </c>
      <c r="L156" s="167">
        <f>+H156</f>
        <v>225</v>
      </c>
      <c r="M156" s="148">
        <f t="shared" si="63"/>
        <v>135</v>
      </c>
      <c r="N156" s="148">
        <f t="shared" si="63"/>
        <v>423</v>
      </c>
      <c r="O156" s="148">
        <f t="shared" si="63"/>
        <v>47</v>
      </c>
      <c r="P156" s="150">
        <f>SUM(L156:O156)</f>
        <v>830</v>
      </c>
      <c r="Q156" s="151">
        <f>250+112</f>
        <v>362</v>
      </c>
      <c r="R156" s="152">
        <f>P156-Q156</f>
        <v>468</v>
      </c>
      <c r="S156" s="173">
        <f>IF(Q156=0,"",P156/Q156)</f>
        <v>2.2928176795580111</v>
      </c>
      <c r="T156" s="154">
        <f>P156-G156</f>
        <v>-61</v>
      </c>
      <c r="U156" s="170">
        <f>IF(G156=0,"",P156/G156)</f>
        <v>0.93153759820426485</v>
      </c>
    </row>
    <row r="157" spans="2:21" x14ac:dyDescent="0.2">
      <c r="F157" s="195"/>
      <c r="G157" s="166"/>
      <c r="H157" s="83"/>
      <c r="I157" s="83"/>
      <c r="J157" s="83"/>
      <c r="K157" s="15"/>
      <c r="L157" s="167"/>
      <c r="M157" s="148"/>
      <c r="N157" s="148"/>
      <c r="O157" s="148"/>
      <c r="P157" s="150"/>
      <c r="Q157" s="151"/>
      <c r="R157" s="152"/>
      <c r="S157" s="153"/>
      <c r="T157" s="154"/>
      <c r="U157" s="170"/>
    </row>
    <row r="158" spans="2:21" x14ac:dyDescent="0.2">
      <c r="C158" s="118" t="s">
        <v>324</v>
      </c>
      <c r="F158" s="195"/>
      <c r="G158" s="157">
        <f>SUM(G152:G157)</f>
        <v>2741.71</v>
      </c>
      <c r="H158" s="84">
        <f>SUM(H152:H157)</f>
        <v>897</v>
      </c>
      <c r="I158" s="84">
        <f>SUM(I152:I157)</f>
        <v>1489</v>
      </c>
      <c r="J158" s="84">
        <f>SUM(J152:J157)</f>
        <v>2399</v>
      </c>
      <c r="K158" s="290">
        <f>SUM(K152:K157)</f>
        <v>2520</v>
      </c>
      <c r="L158" s="159">
        <f t="shared" ref="L158:R158" si="64">SUM(L152:L157)</f>
        <v>897</v>
      </c>
      <c r="M158" s="158">
        <f t="shared" si="64"/>
        <v>592</v>
      </c>
      <c r="N158" s="158">
        <f t="shared" si="64"/>
        <v>910</v>
      </c>
      <c r="O158" s="158">
        <f t="shared" si="64"/>
        <v>121</v>
      </c>
      <c r="P158" s="160">
        <f t="shared" si="64"/>
        <v>2520</v>
      </c>
      <c r="Q158" s="161">
        <f t="shared" si="64"/>
        <v>2861</v>
      </c>
      <c r="R158" s="162">
        <f t="shared" si="64"/>
        <v>-341</v>
      </c>
      <c r="S158" s="171">
        <f>IF(Q158=0,"",P158/Q158)</f>
        <v>0.88081090527787487</v>
      </c>
      <c r="T158" s="164">
        <f>SUM(T152:T157)</f>
        <v>-221.71000000000004</v>
      </c>
      <c r="U158" s="205">
        <f>IF(G158=0,"",P158/G158)</f>
        <v>0.91913440881785458</v>
      </c>
    </row>
    <row r="159" spans="2:21" x14ac:dyDescent="0.2">
      <c r="F159" s="195"/>
      <c r="G159" s="166"/>
      <c r="H159" s="83"/>
      <c r="I159" s="83"/>
      <c r="J159" s="83"/>
      <c r="K159" s="15"/>
      <c r="L159" s="167"/>
      <c r="M159" s="148"/>
      <c r="N159" s="148"/>
      <c r="O159" s="148"/>
      <c r="P159" s="150"/>
      <c r="Q159" s="151"/>
      <c r="R159" s="152"/>
      <c r="S159" s="153"/>
      <c r="T159" s="154"/>
      <c r="U159" s="170"/>
    </row>
    <row r="160" spans="2:21" x14ac:dyDescent="0.2">
      <c r="B160" s="118" t="s">
        <v>165</v>
      </c>
      <c r="F160" s="195"/>
      <c r="G160" s="166"/>
      <c r="H160" s="83"/>
      <c r="I160" s="83"/>
      <c r="J160" s="83"/>
      <c r="K160" s="15"/>
      <c r="L160" s="167"/>
      <c r="M160" s="148"/>
      <c r="N160" s="148"/>
      <c r="O160" s="148"/>
      <c r="P160" s="150"/>
      <c r="Q160" s="151"/>
      <c r="R160" s="152"/>
      <c r="S160" s="153"/>
      <c r="T160" s="154"/>
      <c r="U160" s="170"/>
    </row>
    <row r="161" spans="1:21" x14ac:dyDescent="0.2">
      <c r="C161" s="116" t="s">
        <v>325</v>
      </c>
      <c r="F161" s="195" t="s">
        <v>326</v>
      </c>
      <c r="G161" s="166">
        <v>3</v>
      </c>
      <c r="H161" s="83">
        <v>102</v>
      </c>
      <c r="I161" s="83">
        <v>150</v>
      </c>
      <c r="J161" s="83">
        <v>194</v>
      </c>
      <c r="K161" s="15">
        <v>227</v>
      </c>
      <c r="L161" s="167">
        <f>+H161</f>
        <v>102</v>
      </c>
      <c r="M161" s="148">
        <f t="shared" ref="M161:O165" si="65">IF(I161=0,0,I161-H161)</f>
        <v>48</v>
      </c>
      <c r="N161" s="148">
        <f t="shared" si="65"/>
        <v>44</v>
      </c>
      <c r="O161" s="148">
        <f t="shared" si="65"/>
        <v>33</v>
      </c>
      <c r="P161" s="150">
        <f>SUM(L161:O161)</f>
        <v>227</v>
      </c>
      <c r="Q161" s="151">
        <v>3</v>
      </c>
      <c r="R161" s="152">
        <f>P161-Q161</f>
        <v>224</v>
      </c>
      <c r="S161" s="173">
        <f>IF(Q161=0,"",P161/Q161)</f>
        <v>75.666666666666671</v>
      </c>
      <c r="T161" s="154">
        <f>P161-G161</f>
        <v>224</v>
      </c>
      <c r="U161" s="170">
        <f>IF(G161=0,"",P161/G161)</f>
        <v>75.666666666666671</v>
      </c>
    </row>
    <row r="162" spans="1:21" x14ac:dyDescent="0.2">
      <c r="C162" s="116" t="s">
        <v>327</v>
      </c>
      <c r="F162" s="195" t="s">
        <v>328</v>
      </c>
      <c r="G162" s="166">
        <f>299.95+314.44</f>
        <v>614.39</v>
      </c>
      <c r="H162" s="83">
        <f>18+78</f>
        <v>96</v>
      </c>
      <c r="I162" s="83">
        <v>156</v>
      </c>
      <c r="J162" s="83">
        <v>234</v>
      </c>
      <c r="K162" s="15">
        <f>470+286</f>
        <v>756</v>
      </c>
      <c r="L162" s="167">
        <f>+H162</f>
        <v>96</v>
      </c>
      <c r="M162" s="148">
        <f t="shared" si="65"/>
        <v>60</v>
      </c>
      <c r="N162" s="148">
        <f t="shared" si="65"/>
        <v>78</v>
      </c>
      <c r="O162" s="148">
        <f t="shared" si="65"/>
        <v>522</v>
      </c>
      <c r="P162" s="150">
        <f>SUM(L162:O162)</f>
        <v>756</v>
      </c>
      <c r="Q162" s="151">
        <v>614</v>
      </c>
      <c r="R162" s="152">
        <f>P162-Q162</f>
        <v>142</v>
      </c>
      <c r="S162" s="173">
        <f>IF(Q162=0,"",P162/Q162)</f>
        <v>1.231270358306189</v>
      </c>
      <c r="T162" s="154">
        <f>P162-G162</f>
        <v>141.61000000000001</v>
      </c>
      <c r="U162" s="170">
        <f>IF(G162=0,"",P162/G162)</f>
        <v>1.2304887774866127</v>
      </c>
    </row>
    <row r="163" spans="1:21" x14ac:dyDescent="0.2">
      <c r="C163" s="116" t="s">
        <v>329</v>
      </c>
      <c r="F163" s="195" t="s">
        <v>330</v>
      </c>
      <c r="G163" s="166">
        <v>83</v>
      </c>
      <c r="H163" s="83"/>
      <c r="I163" s="83"/>
      <c r="J163" s="83"/>
      <c r="K163" s="15">
        <v>223</v>
      </c>
      <c r="L163" s="167">
        <f>+H163</f>
        <v>0</v>
      </c>
      <c r="M163" s="148">
        <f t="shared" si="65"/>
        <v>0</v>
      </c>
      <c r="N163" s="148">
        <f t="shared" si="65"/>
        <v>0</v>
      </c>
      <c r="O163" s="148">
        <f t="shared" si="65"/>
        <v>223</v>
      </c>
      <c r="P163" s="150">
        <f>SUM(L163:O163)</f>
        <v>223</v>
      </c>
      <c r="Q163" s="151">
        <v>83</v>
      </c>
      <c r="R163" s="152">
        <f>P163-Q163</f>
        <v>140</v>
      </c>
      <c r="S163" s="173">
        <f>IF(Q163=0,"",P163/Q163)</f>
        <v>2.6867469879518073</v>
      </c>
      <c r="T163" s="154">
        <f>P163-G163</f>
        <v>140</v>
      </c>
      <c r="U163" s="170">
        <f>IF(G163=0,"",P163/G163)</f>
        <v>2.6867469879518073</v>
      </c>
    </row>
    <row r="164" spans="1:21" x14ac:dyDescent="0.2">
      <c r="C164" s="116" t="s">
        <v>331</v>
      </c>
      <c r="F164" s="195"/>
      <c r="G164" s="166"/>
      <c r="H164" s="83"/>
      <c r="I164" s="83"/>
      <c r="J164" s="83"/>
      <c r="K164" s="15"/>
      <c r="L164" s="167">
        <f>+H164</f>
        <v>0</v>
      </c>
      <c r="M164" s="148">
        <f t="shared" si="65"/>
        <v>0</v>
      </c>
      <c r="N164" s="148">
        <f t="shared" si="65"/>
        <v>0</v>
      </c>
      <c r="O164" s="148">
        <f t="shared" si="65"/>
        <v>0</v>
      </c>
      <c r="P164" s="150">
        <f>SUM(L164:O164)</f>
        <v>0</v>
      </c>
      <c r="Q164" s="151"/>
      <c r="R164" s="152">
        <f>P164-Q164</f>
        <v>0</v>
      </c>
      <c r="S164" s="173" t="str">
        <f>IF(Q164=0,"",P164/Q164)</f>
        <v/>
      </c>
      <c r="T164" s="154">
        <f>P164-G164</f>
        <v>0</v>
      </c>
      <c r="U164" s="170" t="str">
        <f>IF(G164=0,"",P164/G164)</f>
        <v/>
      </c>
    </row>
    <row r="165" spans="1:21" x14ac:dyDescent="0.2">
      <c r="C165" s="116" t="s">
        <v>315</v>
      </c>
      <c r="F165" s="195"/>
      <c r="G165" s="166"/>
      <c r="H165" s="83"/>
      <c r="I165" s="83"/>
      <c r="J165" s="83"/>
      <c r="K165" s="16"/>
      <c r="L165" s="167">
        <f>+H165</f>
        <v>0</v>
      </c>
      <c r="M165" s="148">
        <f t="shared" si="65"/>
        <v>0</v>
      </c>
      <c r="N165" s="148">
        <f t="shared" si="65"/>
        <v>0</v>
      </c>
      <c r="O165" s="148">
        <f t="shared" si="65"/>
        <v>0</v>
      </c>
      <c r="P165" s="150">
        <f>SUM(L165:O165)</f>
        <v>0</v>
      </c>
      <c r="Q165" s="151"/>
      <c r="R165" s="152">
        <f>P165-Q165</f>
        <v>0</v>
      </c>
      <c r="S165" s="173" t="str">
        <f>IF(Q165=0,"",P165/Q165)</f>
        <v/>
      </c>
      <c r="T165" s="154">
        <f>P165-G165</f>
        <v>0</v>
      </c>
      <c r="U165" s="170" t="str">
        <f>IF(G165=0,"",P165/G165)</f>
        <v/>
      </c>
    </row>
    <row r="166" spans="1:21" x14ac:dyDescent="0.2">
      <c r="F166" s="195"/>
      <c r="G166" s="166"/>
      <c r="H166" s="83"/>
      <c r="I166" s="83"/>
      <c r="J166" s="83"/>
      <c r="K166" s="15"/>
      <c r="L166" s="167"/>
      <c r="M166" s="148"/>
      <c r="N166" s="148"/>
      <c r="O166" s="148"/>
      <c r="P166" s="150"/>
      <c r="Q166" s="151"/>
      <c r="R166" s="152"/>
      <c r="S166" s="153"/>
      <c r="T166" s="154"/>
      <c r="U166" s="170"/>
    </row>
    <row r="167" spans="1:21" x14ac:dyDescent="0.2">
      <c r="C167" s="118" t="s">
        <v>332</v>
      </c>
      <c r="F167" s="215"/>
      <c r="G167" s="216">
        <f>SUM(G161:G166)</f>
        <v>700.39</v>
      </c>
      <c r="H167" s="91">
        <f>SUM(H161:H166)</f>
        <v>198</v>
      </c>
      <c r="I167" s="91">
        <f>SUM(I161:I166)</f>
        <v>306</v>
      </c>
      <c r="J167" s="91">
        <f>SUM(J161:J166)</f>
        <v>428</v>
      </c>
      <c r="K167" s="295">
        <f>SUM(K161:K166)</f>
        <v>1206</v>
      </c>
      <c r="L167" s="218">
        <f t="shared" ref="L167:R167" si="66">SUM(L161:L166)</f>
        <v>198</v>
      </c>
      <c r="M167" s="217">
        <f t="shared" si="66"/>
        <v>108</v>
      </c>
      <c r="N167" s="217">
        <f t="shared" si="66"/>
        <v>122</v>
      </c>
      <c r="O167" s="217">
        <f t="shared" si="66"/>
        <v>778</v>
      </c>
      <c r="P167" s="219">
        <f t="shared" si="66"/>
        <v>1206</v>
      </c>
      <c r="Q167" s="220">
        <f t="shared" si="66"/>
        <v>700</v>
      </c>
      <c r="R167" s="221">
        <f t="shared" si="66"/>
        <v>506</v>
      </c>
      <c r="S167" s="222">
        <f>IF(Q167=0,"",P167/Q167)</f>
        <v>1.7228571428571429</v>
      </c>
      <c r="T167" s="223">
        <f>SUM(T161:T166)</f>
        <v>505.61</v>
      </c>
      <c r="U167" s="224">
        <f>IF(G167=0,"",P167/G167)</f>
        <v>1.7218977997972558</v>
      </c>
    </row>
    <row r="171" spans="1:21" x14ac:dyDescent="0.2">
      <c r="A171" s="116" t="s">
        <v>333</v>
      </c>
    </row>
    <row r="172" spans="1:21" x14ac:dyDescent="0.2">
      <c r="A172" s="116">
        <v>1</v>
      </c>
      <c r="B172" s="225" t="s">
        <v>397</v>
      </c>
    </row>
    <row r="173" spans="1:21" x14ac:dyDescent="0.2">
      <c r="A173" s="116">
        <v>2</v>
      </c>
      <c r="B173" s="116" t="s">
        <v>398</v>
      </c>
    </row>
    <row r="174" spans="1:21" x14ac:dyDescent="0.2">
      <c r="A174" s="116">
        <v>3</v>
      </c>
      <c r="B174" s="116" t="s">
        <v>230</v>
      </c>
    </row>
    <row r="175" spans="1:21" x14ac:dyDescent="0.2">
      <c r="A175" s="116">
        <v>4</v>
      </c>
      <c r="B175" s="116" t="s">
        <v>231</v>
      </c>
    </row>
  </sheetData>
  <sheetProtection algorithmName="SHA-512" hashValue="Y1+AP9CmIgCAu4sV7tmW/sU6JP1QdlpoT9IRzXbH96neiBsHz4qfEYnmpeSBzu4abPVCNxQ9JvdG6UqDGYISUw==" saltValue="qwuD4fs9U/R/dPzGI/kM8w==" spinCount="100000" sheet="1" objects="1" scenarios="1"/>
  <phoneticPr fontId="4" type="noConversion"/>
  <pageMargins left="0.75" right="0.75" top="0.5" bottom="1" header="0.5" footer="0.5"/>
  <pageSetup scale="59" fitToHeight="3" orientation="landscape" horizontalDpi="4294967292" verticalDpi="4294967292"/>
  <headerFooter alignWithMargins="0">
    <oddFooter>&amp;L&amp;F&amp;C&amp;D&amp;R&amp;A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3"/>
    <pageSetUpPr fitToPage="1"/>
  </sheetPr>
  <dimension ref="A1:P85"/>
  <sheetViews>
    <sheetView zoomScaleNormal="100" workbookViewId="0">
      <pane xSplit="5" ySplit="7" topLeftCell="F8" activePane="bottomRight" state="frozen"/>
      <selection activeCell="D4" sqref="D4"/>
      <selection pane="topRight" activeCell="D4" sqref="D4"/>
      <selection pane="bottomLeft" activeCell="D4" sqref="D4"/>
      <selection pane="bottomRight" activeCell="F8" sqref="F8"/>
    </sheetView>
  </sheetViews>
  <sheetFormatPr defaultColWidth="11.08984375" defaultRowHeight="12.6" outlineLevelRow="1" x14ac:dyDescent="0.2"/>
  <cols>
    <col min="1" max="1" width="5.90625" customWidth="1"/>
    <col min="2" max="2" width="6.36328125" customWidth="1"/>
    <col min="3" max="3" width="4.08984375" customWidth="1"/>
    <col min="4" max="4" width="3.90625" customWidth="1"/>
    <col min="5" max="5" width="10.08984375" customWidth="1"/>
    <col min="6" max="6" width="8.90625" customWidth="1"/>
    <col min="7" max="7" width="12.36328125" customWidth="1"/>
    <col min="8" max="8" width="11.36328125" bestFit="1" customWidth="1"/>
    <col min="9" max="9" width="14.08984375" bestFit="1" customWidth="1"/>
    <col min="10" max="10" width="12.6328125" customWidth="1"/>
    <col min="12" max="12" width="12" customWidth="1"/>
    <col min="13" max="14" width="14.7265625" bestFit="1" customWidth="1"/>
  </cols>
  <sheetData>
    <row r="1" spans="1:15" ht="16.2" x14ac:dyDescent="0.3">
      <c r="A1" s="2" t="s">
        <v>259</v>
      </c>
    </row>
    <row r="2" spans="1:15" x14ac:dyDescent="0.2">
      <c r="A2" s="14" t="s">
        <v>260</v>
      </c>
      <c r="I2" s="15"/>
    </row>
    <row r="3" spans="1:15" ht="16.8" thickBot="1" x14ac:dyDescent="0.35">
      <c r="A3" s="2" t="s">
        <v>232</v>
      </c>
    </row>
    <row r="4" spans="1:15" ht="13.2" thickBot="1" x14ac:dyDescent="0.25">
      <c r="A4" s="1" t="s">
        <v>262</v>
      </c>
      <c r="D4" s="18">
        <v>4</v>
      </c>
    </row>
    <row r="5" spans="1:15" x14ac:dyDescent="0.2">
      <c r="E5" s="17"/>
      <c r="G5" s="71" t="s">
        <v>442</v>
      </c>
      <c r="H5">
        <v>1</v>
      </c>
      <c r="I5">
        <v>2</v>
      </c>
      <c r="J5">
        <v>3</v>
      </c>
      <c r="K5">
        <v>4</v>
      </c>
    </row>
    <row r="6" spans="1:15" ht="16.2" x14ac:dyDescent="0.3">
      <c r="A6" s="2"/>
      <c r="F6" s="79" t="s">
        <v>212</v>
      </c>
      <c r="G6" s="61" t="s">
        <v>78</v>
      </c>
      <c r="H6" s="35" t="s">
        <v>444</v>
      </c>
      <c r="I6" s="36" t="s">
        <v>449</v>
      </c>
      <c r="J6" s="36" t="s">
        <v>453</v>
      </c>
      <c r="K6" s="296" t="s">
        <v>78</v>
      </c>
      <c r="L6" s="234" t="s">
        <v>440</v>
      </c>
      <c r="M6" s="67" t="s">
        <v>135</v>
      </c>
      <c r="N6" s="68" t="s">
        <v>136</v>
      </c>
    </row>
    <row r="7" spans="1:15" x14ac:dyDescent="0.2">
      <c r="F7" s="80" t="s">
        <v>213</v>
      </c>
      <c r="G7" s="62">
        <v>40998</v>
      </c>
      <c r="H7" s="69">
        <v>41089</v>
      </c>
      <c r="I7" s="70">
        <v>41181</v>
      </c>
      <c r="J7" s="70">
        <v>41273</v>
      </c>
      <c r="K7" s="297">
        <v>41363</v>
      </c>
      <c r="L7" s="235" t="s">
        <v>438</v>
      </c>
      <c r="M7" s="65" t="s">
        <v>19</v>
      </c>
      <c r="N7" s="66" t="s">
        <v>125</v>
      </c>
    </row>
    <row r="8" spans="1:15" x14ac:dyDescent="0.2">
      <c r="A8" s="1" t="s">
        <v>233</v>
      </c>
      <c r="F8" s="81"/>
      <c r="G8" s="76"/>
      <c r="H8" s="92"/>
      <c r="I8" s="93"/>
      <c r="J8" s="93"/>
      <c r="K8" s="93"/>
      <c r="L8" s="47"/>
      <c r="M8" s="34"/>
      <c r="N8" s="48"/>
    </row>
    <row r="9" spans="1:15" x14ac:dyDescent="0.2">
      <c r="F9" s="78"/>
      <c r="G9" s="49"/>
      <c r="H9" s="94"/>
      <c r="I9" s="95"/>
      <c r="J9" s="95"/>
      <c r="K9" s="95"/>
      <c r="L9" s="49"/>
      <c r="M9" s="46"/>
      <c r="N9" s="50"/>
    </row>
    <row r="10" spans="1:15" x14ac:dyDescent="0.2">
      <c r="B10" t="s">
        <v>234</v>
      </c>
      <c r="F10" s="78"/>
      <c r="G10" s="37"/>
      <c r="H10" s="96"/>
      <c r="I10" s="97"/>
      <c r="J10" s="97"/>
      <c r="K10" s="97"/>
      <c r="L10" s="37"/>
      <c r="M10" s="42"/>
      <c r="N10" s="51"/>
      <c r="O10" s="15"/>
    </row>
    <row r="11" spans="1:15" x14ac:dyDescent="0.2">
      <c r="B11" t="s">
        <v>235</v>
      </c>
      <c r="F11" s="78"/>
      <c r="G11" s="37"/>
      <c r="H11" s="96"/>
      <c r="I11" s="97"/>
      <c r="J11" s="97"/>
      <c r="K11" s="97"/>
      <c r="L11" s="37"/>
      <c r="M11" s="42"/>
      <c r="N11" s="51"/>
    </row>
    <row r="12" spans="1:15" x14ac:dyDescent="0.2">
      <c r="B12" t="s">
        <v>236</v>
      </c>
      <c r="F12" s="78"/>
      <c r="G12" s="37"/>
      <c r="H12" s="96"/>
      <c r="I12" s="236"/>
      <c r="J12" s="97"/>
      <c r="K12" s="97"/>
      <c r="L12" s="37"/>
      <c r="M12" s="38"/>
      <c r="N12" s="51"/>
    </row>
    <row r="13" spans="1:15" x14ac:dyDescent="0.2">
      <c r="F13" s="78"/>
      <c r="G13" s="37"/>
      <c r="H13" s="96"/>
      <c r="I13" s="97"/>
      <c r="J13" s="97"/>
      <c r="K13" s="97"/>
      <c r="L13" s="37"/>
      <c r="M13" s="38"/>
      <c r="N13" s="51"/>
    </row>
    <row r="14" spans="1:15" x14ac:dyDescent="0.2">
      <c r="F14" s="78"/>
      <c r="G14" s="37"/>
      <c r="H14" s="96"/>
      <c r="I14" s="97"/>
      <c r="J14" s="97"/>
      <c r="K14" s="97"/>
      <c r="L14" s="37"/>
      <c r="M14" s="38"/>
      <c r="N14" s="51"/>
    </row>
    <row r="15" spans="1:15" x14ac:dyDescent="0.2">
      <c r="B15" s="1" t="s">
        <v>237</v>
      </c>
      <c r="F15" s="78"/>
      <c r="G15" s="54">
        <f t="shared" ref="G15:L15" si="0">SUM(G10:G14)</f>
        <v>0</v>
      </c>
      <c r="H15" s="98">
        <f t="shared" si="0"/>
        <v>0</v>
      </c>
      <c r="I15" s="99">
        <f>SUM(I10:I14)</f>
        <v>0</v>
      </c>
      <c r="J15" s="99">
        <f t="shared" ref="J15:K15" si="1">SUM(J10:J14)</f>
        <v>0</v>
      </c>
      <c r="K15" s="99">
        <f t="shared" si="1"/>
        <v>0</v>
      </c>
      <c r="L15" s="54">
        <f t="shared" si="0"/>
        <v>0</v>
      </c>
      <c r="M15" s="77">
        <f>IF($D$4=$H$5,H15-L15,IF($D$4=$I$5,I15-L15,IF($D$4=$J$5,J15-L15,K15-L15)))</f>
        <v>0</v>
      </c>
      <c r="N15" s="55">
        <f>IF($D$4=$H$5,H15-G15,IF($D$4=$I$5,I15-G15,IF($D$4=$J$5,J15-G15,K15-G15)))</f>
        <v>0</v>
      </c>
    </row>
    <row r="16" spans="1:15" outlineLevel="1" x14ac:dyDescent="0.2">
      <c r="F16" s="78"/>
      <c r="G16" s="37"/>
      <c r="H16" s="96"/>
      <c r="I16" s="97"/>
      <c r="J16" s="97"/>
      <c r="K16" s="97"/>
      <c r="L16" s="37"/>
      <c r="M16" s="38"/>
      <c r="N16" s="51"/>
    </row>
    <row r="17" spans="2:14" outlineLevel="1" x14ac:dyDescent="0.2">
      <c r="B17" t="s">
        <v>238</v>
      </c>
      <c r="F17" s="78">
        <v>1010</v>
      </c>
      <c r="G17" s="37"/>
      <c r="H17" s="96"/>
      <c r="I17" s="97"/>
      <c r="J17" s="97"/>
      <c r="K17" s="97"/>
      <c r="L17" s="37"/>
      <c r="M17" s="38"/>
      <c r="N17" s="51"/>
    </row>
    <row r="18" spans="2:14" outlineLevel="1" x14ac:dyDescent="0.2">
      <c r="B18" t="s">
        <v>239</v>
      </c>
      <c r="F18" s="78">
        <v>1070</v>
      </c>
      <c r="G18" s="37"/>
      <c r="H18" s="96"/>
      <c r="I18" s="97"/>
      <c r="J18" s="97"/>
      <c r="K18" s="97"/>
      <c r="L18" s="37"/>
      <c r="M18" s="38"/>
      <c r="N18" s="51"/>
    </row>
    <row r="19" spans="2:14" outlineLevel="1" x14ac:dyDescent="0.2">
      <c r="B19" t="s">
        <v>99</v>
      </c>
      <c r="F19" s="78"/>
      <c r="G19" s="37"/>
      <c r="H19" s="96"/>
      <c r="I19" s="97"/>
      <c r="J19" s="97"/>
      <c r="K19" s="97"/>
      <c r="L19" s="37"/>
      <c r="M19" s="38"/>
      <c r="N19" s="51"/>
    </row>
    <row r="20" spans="2:14" outlineLevel="1" x14ac:dyDescent="0.2">
      <c r="F20" s="78"/>
      <c r="G20" s="37"/>
      <c r="H20" s="96"/>
      <c r="I20" s="97"/>
      <c r="J20" s="97"/>
      <c r="K20" s="97"/>
      <c r="L20" s="37"/>
      <c r="M20" s="38"/>
      <c r="N20" s="51"/>
    </row>
    <row r="21" spans="2:14" outlineLevel="1" x14ac:dyDescent="0.2">
      <c r="F21" s="78"/>
      <c r="G21" s="41"/>
      <c r="H21" s="100"/>
      <c r="I21" s="101"/>
      <c r="J21" s="101"/>
      <c r="K21" s="97"/>
      <c r="L21" s="37"/>
      <c r="M21" s="38"/>
      <c r="N21" s="51"/>
    </row>
    <row r="22" spans="2:14" outlineLevel="1" x14ac:dyDescent="0.2">
      <c r="B22" s="1" t="s">
        <v>100</v>
      </c>
      <c r="F22" s="78"/>
      <c r="G22" s="54">
        <f t="shared" ref="G22:L22" si="2">SUM(G17:G21)</f>
        <v>0</v>
      </c>
      <c r="H22" s="98">
        <f t="shared" si="2"/>
        <v>0</v>
      </c>
      <c r="I22" s="99">
        <f t="shared" ref="I22" si="3">SUM(I17:I21)</f>
        <v>0</v>
      </c>
      <c r="J22" s="99">
        <f t="shared" ref="J22" si="4">SUM(J17:J21)</f>
        <v>0</v>
      </c>
      <c r="K22" s="99">
        <f t="shared" ref="K22" si="5">SUM(K17:K21)</f>
        <v>0</v>
      </c>
      <c r="L22" s="54">
        <f t="shared" si="2"/>
        <v>0</v>
      </c>
      <c r="M22" s="52">
        <f>IF($D$4=$H$5,H22-L22,IF($D$4=$I$5,I22-L22,IF($D$4=$J$5,J22-L22,K22-L22)))</f>
        <v>0</v>
      </c>
      <c r="N22" s="55">
        <f>IF($D$4=$H$5,H22-G22,IF($D$4=$I$5,I22-G22,IF($D$4=$J$5,J22-G22,K22-G22)))</f>
        <v>0</v>
      </c>
    </row>
    <row r="23" spans="2:14" outlineLevel="1" x14ac:dyDescent="0.2">
      <c r="F23" s="78"/>
      <c r="G23" s="37"/>
      <c r="H23" s="96"/>
      <c r="I23" s="97"/>
      <c r="J23" s="97"/>
      <c r="K23" s="97"/>
      <c r="L23" s="37"/>
      <c r="M23" s="38"/>
      <c r="N23" s="51"/>
    </row>
    <row r="24" spans="2:14" outlineLevel="1" x14ac:dyDescent="0.2">
      <c r="B24" t="s">
        <v>240</v>
      </c>
      <c r="F24" s="78"/>
      <c r="G24" s="37">
        <v>101947.5</v>
      </c>
      <c r="H24" s="96">
        <v>112340</v>
      </c>
      <c r="I24" s="97">
        <v>121480</v>
      </c>
      <c r="J24" s="97">
        <v>119119</v>
      </c>
      <c r="K24" s="97">
        <v>118224</v>
      </c>
      <c r="L24" s="37">
        <f>-46+102104</f>
        <v>102058</v>
      </c>
      <c r="M24" s="38"/>
      <c r="N24" s="51"/>
    </row>
    <row r="25" spans="2:14" outlineLevel="1" x14ac:dyDescent="0.2">
      <c r="B25" t="s">
        <v>241</v>
      </c>
      <c r="F25" s="78"/>
      <c r="G25" s="37">
        <v>75903.05</v>
      </c>
      <c r="H25" s="96">
        <v>75914</v>
      </c>
      <c r="I25" s="97">
        <v>75938</v>
      </c>
      <c r="J25" s="97">
        <v>75937</v>
      </c>
      <c r="K25" s="97">
        <v>75948</v>
      </c>
      <c r="L25" s="37">
        <f>75903+46</f>
        <v>75949</v>
      </c>
      <c r="M25" s="38"/>
      <c r="N25" s="51"/>
    </row>
    <row r="26" spans="2:14" outlineLevel="1" x14ac:dyDescent="0.2">
      <c r="B26" t="s">
        <v>242</v>
      </c>
      <c r="F26" s="78"/>
      <c r="G26" s="37"/>
      <c r="H26" s="96"/>
      <c r="I26" s="97"/>
      <c r="J26" s="97"/>
      <c r="K26" s="97"/>
      <c r="L26" s="37"/>
      <c r="M26" s="38"/>
      <c r="N26" s="51"/>
    </row>
    <row r="27" spans="2:14" outlineLevel="1" x14ac:dyDescent="0.2">
      <c r="F27" s="78"/>
      <c r="G27" s="37"/>
      <c r="H27" s="96"/>
      <c r="I27" s="97"/>
      <c r="J27" s="97"/>
      <c r="K27" s="97"/>
      <c r="L27" s="37"/>
      <c r="M27" s="38"/>
      <c r="N27" s="51"/>
    </row>
    <row r="28" spans="2:14" outlineLevel="1" x14ac:dyDescent="0.2">
      <c r="F28" s="78"/>
      <c r="G28" s="37"/>
      <c r="H28" s="96"/>
      <c r="I28" s="97"/>
      <c r="J28" s="97"/>
      <c r="K28" s="97"/>
      <c r="L28" s="37"/>
      <c r="M28" s="38"/>
      <c r="N28" s="51"/>
    </row>
    <row r="29" spans="2:14" outlineLevel="1" x14ac:dyDescent="0.2">
      <c r="B29" s="1" t="s">
        <v>243</v>
      </c>
      <c r="F29" s="78"/>
      <c r="G29" s="54">
        <f t="shared" ref="G29:L29" si="6">SUM(G24:G28)</f>
        <v>177850.55</v>
      </c>
      <c r="H29" s="98">
        <f t="shared" si="6"/>
        <v>188254</v>
      </c>
      <c r="I29" s="99">
        <f t="shared" ref="I29" si="7">SUM(I24:I28)</f>
        <v>197418</v>
      </c>
      <c r="J29" s="99">
        <f t="shared" ref="J29" si="8">SUM(J24:J28)</f>
        <v>195056</v>
      </c>
      <c r="K29" s="99">
        <f t="shared" ref="K29" si="9">SUM(K24:K28)</f>
        <v>194172</v>
      </c>
      <c r="L29" s="54">
        <f t="shared" si="6"/>
        <v>178007</v>
      </c>
      <c r="M29" s="52">
        <f>IF($D$4=$H$5,H29-L29,IF($D$4=$I$5,I29-L29,IF($D$4=$J$5,J29-L29,K29-L29)))</f>
        <v>16165</v>
      </c>
      <c r="N29" s="55">
        <f>IF($D$4=$H$5,H29-G29,IF($D$4=$I$5,I29-G29,IF($D$4=$J$5,J29-G29,K29-G29)))</f>
        <v>16321.450000000012</v>
      </c>
    </row>
    <row r="30" spans="2:14" outlineLevel="1" x14ac:dyDescent="0.2">
      <c r="F30" s="78"/>
      <c r="G30" s="37"/>
      <c r="H30" s="96"/>
      <c r="I30" s="97"/>
      <c r="J30" s="97"/>
      <c r="K30" s="97"/>
      <c r="L30" s="37"/>
      <c r="M30" s="38"/>
      <c r="N30" s="51"/>
    </row>
    <row r="31" spans="2:14" outlineLevel="1" x14ac:dyDescent="0.2">
      <c r="B31" s="1" t="s">
        <v>244</v>
      </c>
      <c r="F31" s="78"/>
      <c r="G31" s="39">
        <f t="shared" ref="G31:L31" si="10">+G15+G22+G29</f>
        <v>177850.55</v>
      </c>
      <c r="H31" s="102">
        <f t="shared" si="10"/>
        <v>188254</v>
      </c>
      <c r="I31" s="103">
        <f t="shared" si="10"/>
        <v>197418</v>
      </c>
      <c r="J31" s="103">
        <f t="shared" si="10"/>
        <v>195056</v>
      </c>
      <c r="K31" s="103">
        <f t="shared" si="10"/>
        <v>194172</v>
      </c>
      <c r="L31" s="39">
        <f t="shared" si="10"/>
        <v>178007</v>
      </c>
      <c r="M31" s="40">
        <f>IF($D$4=$H$5,H31-L31,IF($D$4=$I$5,I31-L31,IF($D$4=$J$5,J31-L31,K31-L31)))</f>
        <v>16165</v>
      </c>
      <c r="N31" s="56">
        <f>IF($D$4=$H$5,H31-G31,IF($D$4=$I$5,I31-G31,IF($D$4=$J$5,J31-G31,K31-G31)))</f>
        <v>16321.450000000012</v>
      </c>
    </row>
    <row r="32" spans="2:14" x14ac:dyDescent="0.2">
      <c r="F32" s="78"/>
      <c r="G32" s="37"/>
      <c r="H32" s="96"/>
      <c r="I32" s="97"/>
      <c r="J32" s="97"/>
      <c r="K32" s="97"/>
      <c r="L32" s="37"/>
      <c r="M32" s="38"/>
      <c r="N32" s="51"/>
    </row>
    <row r="33" spans="1:16" x14ac:dyDescent="0.2">
      <c r="A33" s="1" t="s">
        <v>245</v>
      </c>
      <c r="F33" s="78"/>
      <c r="G33" s="41"/>
      <c r="H33" s="100"/>
      <c r="I33" s="101"/>
      <c r="J33" s="101"/>
      <c r="K33" s="101"/>
      <c r="L33" s="41"/>
      <c r="M33" s="42"/>
      <c r="N33" s="57"/>
    </row>
    <row r="34" spans="1:16" x14ac:dyDescent="0.2">
      <c r="B34" t="s">
        <v>246</v>
      </c>
      <c r="F34" s="78"/>
      <c r="G34" s="41"/>
      <c r="H34" s="100"/>
      <c r="I34" s="101"/>
      <c r="J34" s="101"/>
      <c r="K34" s="101"/>
      <c r="L34" s="41"/>
      <c r="M34" s="42"/>
      <c r="N34" s="57"/>
    </row>
    <row r="35" spans="1:16" x14ac:dyDescent="0.2">
      <c r="F35" s="78"/>
      <c r="G35" s="41"/>
      <c r="H35" s="100"/>
      <c r="I35" s="101"/>
      <c r="J35" s="101"/>
      <c r="K35" s="101"/>
      <c r="L35" s="41"/>
      <c r="M35" s="42"/>
      <c r="N35" s="57"/>
    </row>
    <row r="36" spans="1:16" x14ac:dyDescent="0.2">
      <c r="F36" s="78"/>
      <c r="G36" s="37"/>
      <c r="H36" s="96"/>
      <c r="I36" s="97"/>
      <c r="J36" s="97"/>
      <c r="K36" s="97"/>
      <c r="L36" s="37"/>
      <c r="M36" s="38"/>
      <c r="N36" s="51"/>
    </row>
    <row r="37" spans="1:16" x14ac:dyDescent="0.2">
      <c r="B37" s="1" t="s">
        <v>247</v>
      </c>
      <c r="F37" s="78"/>
      <c r="G37" s="54">
        <f t="shared" ref="G37:L37" si="11">SUM(G34:G36)</f>
        <v>0</v>
      </c>
      <c r="H37" s="98">
        <f t="shared" si="11"/>
        <v>0</v>
      </c>
      <c r="I37" s="99">
        <f t="shared" ref="I37" si="12">SUM(I34:I36)</f>
        <v>0</v>
      </c>
      <c r="J37" s="99">
        <f t="shared" ref="J37" si="13">SUM(J34:J36)</f>
        <v>0</v>
      </c>
      <c r="K37" s="99">
        <f t="shared" ref="K37" si="14">SUM(K34:K36)</f>
        <v>0</v>
      </c>
      <c r="L37" s="54">
        <f t="shared" si="11"/>
        <v>0</v>
      </c>
      <c r="M37" s="53">
        <f>IF($D$4=$H$5,H37-L37,IF($D$4=$I$5,I37-L37,IF($D$4=$J$5,J37-L37,K37-L37)))</f>
        <v>0</v>
      </c>
      <c r="N37" s="55">
        <f>IF($D$4=$H$5,H37-G37,IF($D$4=$I$5,I37-G37,IF($D$4=$J$5,J37-G37,K37-G37)))</f>
        <v>0</v>
      </c>
    </row>
    <row r="38" spans="1:16" x14ac:dyDescent="0.2">
      <c r="F38" s="78"/>
      <c r="G38" s="37"/>
      <c r="H38" s="96"/>
      <c r="I38" s="97"/>
      <c r="J38" s="97"/>
      <c r="K38" s="97"/>
      <c r="L38" s="37"/>
      <c r="M38" s="38"/>
      <c r="N38" s="51"/>
    </row>
    <row r="39" spans="1:16" hidden="1" outlineLevel="1" x14ac:dyDescent="0.2">
      <c r="A39" s="1" t="s">
        <v>248</v>
      </c>
      <c r="B39" s="1"/>
      <c r="F39" s="78"/>
      <c r="G39" s="37"/>
      <c r="H39" s="96"/>
      <c r="I39" s="97"/>
      <c r="J39" s="97"/>
      <c r="K39" s="97"/>
      <c r="L39" s="37"/>
      <c r="M39" s="38"/>
      <c r="N39" s="51"/>
    </row>
    <row r="40" spans="1:16" hidden="1" outlineLevel="1" x14ac:dyDescent="0.2">
      <c r="B40" t="s">
        <v>249</v>
      </c>
      <c r="F40" s="78"/>
      <c r="G40" s="37"/>
      <c r="H40" s="96"/>
      <c r="I40" s="97"/>
      <c r="J40" s="97"/>
      <c r="K40" s="97"/>
      <c r="L40" s="37"/>
      <c r="M40" s="38"/>
      <c r="N40" s="51"/>
    </row>
    <row r="41" spans="1:16" hidden="1" outlineLevel="1" x14ac:dyDescent="0.2">
      <c r="B41" t="s">
        <v>250</v>
      </c>
      <c r="F41" s="78"/>
      <c r="G41" s="37"/>
      <c r="H41" s="96"/>
      <c r="I41" s="97"/>
      <c r="J41" s="97"/>
      <c r="K41" s="97"/>
      <c r="L41" s="37"/>
      <c r="M41" s="38"/>
      <c r="N41" s="51"/>
    </row>
    <row r="42" spans="1:16" hidden="1" outlineLevel="1" x14ac:dyDescent="0.2">
      <c r="F42" s="78"/>
      <c r="G42" s="37"/>
      <c r="H42" s="96"/>
      <c r="I42" s="97"/>
      <c r="J42" s="97"/>
      <c r="K42" s="97"/>
      <c r="L42" s="37"/>
      <c r="M42" s="38"/>
      <c r="N42" s="51"/>
    </row>
    <row r="43" spans="1:16" collapsed="1" x14ac:dyDescent="0.2">
      <c r="B43" s="1" t="s">
        <v>251</v>
      </c>
      <c r="F43" s="78"/>
      <c r="G43" s="54">
        <f t="shared" ref="G43:L43" si="15">SUM(G40:G42)</f>
        <v>0</v>
      </c>
      <c r="H43" s="98">
        <f t="shared" si="15"/>
        <v>0</v>
      </c>
      <c r="I43" s="99">
        <f>SUM(I40:I42)</f>
        <v>0</v>
      </c>
      <c r="J43" s="99">
        <f t="shared" ref="J43" si="16">SUM(J40:J42)</f>
        <v>0</v>
      </c>
      <c r="K43" s="99">
        <f t="shared" ref="K43" si="17">SUM(K40:K42)</f>
        <v>0</v>
      </c>
      <c r="L43" s="54">
        <f t="shared" si="15"/>
        <v>0</v>
      </c>
      <c r="M43" s="52">
        <f>IF($D$4=$H$5,H43-L43,IF($D$4=$I$5,I43-L43,IF($D$4=$J$5,J43-L43,K43-L43)))</f>
        <v>0</v>
      </c>
      <c r="N43" s="55">
        <f>IF($D$4=$H$5,H43-G43,IF($D$4=$I$5,I43-G43,IF($D$4=$J$5,J43-G43,K43-G43)))</f>
        <v>0</v>
      </c>
    </row>
    <row r="44" spans="1:16" x14ac:dyDescent="0.2">
      <c r="F44" s="78"/>
      <c r="G44" s="37"/>
      <c r="H44" s="96"/>
      <c r="I44" s="97"/>
      <c r="J44" s="97"/>
      <c r="K44" s="97"/>
      <c r="L44" s="37"/>
      <c r="M44" s="38"/>
      <c r="N44" s="51"/>
    </row>
    <row r="45" spans="1:16" ht="13.2" thickBot="1" x14ac:dyDescent="0.25">
      <c r="A45" s="1" t="s">
        <v>365</v>
      </c>
      <c r="F45" s="78"/>
      <c r="G45" s="43">
        <f t="shared" ref="G45:L45" si="18">+G43+G37+G31</f>
        <v>177850.55</v>
      </c>
      <c r="H45" s="104">
        <f t="shared" si="18"/>
        <v>188254</v>
      </c>
      <c r="I45" s="105">
        <f t="shared" si="18"/>
        <v>197418</v>
      </c>
      <c r="J45" s="105">
        <f t="shared" si="18"/>
        <v>195056</v>
      </c>
      <c r="K45" s="105">
        <f t="shared" si="18"/>
        <v>194172</v>
      </c>
      <c r="L45" s="43">
        <f t="shared" si="18"/>
        <v>178007</v>
      </c>
      <c r="M45" s="45">
        <f>IF($D$4=$H$5,H45-L45,IF($D$4=$I$5,I45-L45,IF($D$4=$J$5,J45-L45,K45-L45)))</f>
        <v>16165</v>
      </c>
      <c r="N45" s="58">
        <f>IF($D$4=$H$5,H45-G45,IF($D$4=$I$5,I45-G45,IF($D$4=$J$5,J45-G45,K45-G45)))</f>
        <v>16321.450000000012</v>
      </c>
    </row>
    <row r="46" spans="1:16" ht="13.2" thickTop="1" x14ac:dyDescent="0.2">
      <c r="F46" s="78"/>
      <c r="G46" s="37"/>
      <c r="H46" s="96"/>
      <c r="I46" s="97"/>
      <c r="J46" s="97"/>
      <c r="K46" s="97"/>
      <c r="L46" s="37"/>
      <c r="M46" s="38"/>
      <c r="N46" s="51"/>
    </row>
    <row r="47" spans="1:16" x14ac:dyDescent="0.2">
      <c r="A47" s="1" t="s">
        <v>366</v>
      </c>
      <c r="F47" s="78"/>
      <c r="G47" s="37"/>
      <c r="H47" s="96"/>
      <c r="I47" s="97"/>
      <c r="J47" s="97"/>
      <c r="K47" s="97"/>
      <c r="L47" s="37"/>
      <c r="M47" s="38"/>
      <c r="N47" s="51"/>
      <c r="P47" s="15"/>
    </row>
    <row r="48" spans="1:16" x14ac:dyDescent="0.2">
      <c r="B48" t="s">
        <v>367</v>
      </c>
      <c r="F48" s="78">
        <v>2020</v>
      </c>
      <c r="G48" s="37"/>
      <c r="H48" s="96"/>
      <c r="I48" s="97"/>
      <c r="J48" s="97"/>
      <c r="K48" s="97"/>
      <c r="L48" s="37"/>
      <c r="M48" s="38"/>
      <c r="N48" s="51"/>
    </row>
    <row r="49" spans="1:14" x14ac:dyDescent="0.2">
      <c r="B49" t="s">
        <v>368</v>
      </c>
      <c r="F49" s="78">
        <v>2010</v>
      </c>
      <c r="G49" s="37"/>
      <c r="H49" s="96"/>
      <c r="I49" s="97"/>
      <c r="J49" s="97"/>
      <c r="K49" s="97"/>
      <c r="L49" s="37"/>
      <c r="M49" s="38"/>
      <c r="N49" s="51"/>
    </row>
    <row r="50" spans="1:14" x14ac:dyDescent="0.2">
      <c r="B50" t="s">
        <v>369</v>
      </c>
      <c r="F50" s="78">
        <v>3111</v>
      </c>
      <c r="G50" s="257">
        <v>5391.5</v>
      </c>
      <c r="H50" s="96">
        <v>5392</v>
      </c>
      <c r="I50" s="101">
        <v>4427</v>
      </c>
      <c r="J50" s="97">
        <v>6005</v>
      </c>
      <c r="K50" s="97">
        <v>6195</v>
      </c>
      <c r="L50" s="37">
        <f>-46+5000</f>
        <v>4954</v>
      </c>
      <c r="M50" s="38"/>
      <c r="N50" s="51"/>
    </row>
    <row r="51" spans="1:14" x14ac:dyDescent="0.2">
      <c r="B51" t="s">
        <v>370</v>
      </c>
      <c r="F51" s="78">
        <v>2040</v>
      </c>
      <c r="G51" s="257"/>
      <c r="H51" s="96"/>
      <c r="I51" s="97"/>
      <c r="J51" s="97"/>
      <c r="K51" s="97"/>
      <c r="L51" s="37"/>
      <c r="M51" s="38"/>
      <c r="N51" s="51"/>
    </row>
    <row r="52" spans="1:14" x14ac:dyDescent="0.2">
      <c r="B52" t="s">
        <v>371</v>
      </c>
      <c r="F52" s="78"/>
      <c r="G52" s="257"/>
      <c r="H52" s="96"/>
      <c r="I52" s="97"/>
      <c r="J52" s="97"/>
      <c r="K52" s="97"/>
      <c r="L52" s="37"/>
      <c r="M52" s="38"/>
      <c r="N52" s="51"/>
    </row>
    <row r="53" spans="1:14" x14ac:dyDescent="0.2">
      <c r="F53" s="78"/>
      <c r="G53" s="257"/>
      <c r="H53" s="96"/>
      <c r="I53" s="97"/>
      <c r="J53" s="97"/>
      <c r="K53" s="97"/>
      <c r="L53" s="37"/>
      <c r="M53" s="38"/>
      <c r="N53" s="51"/>
    </row>
    <row r="54" spans="1:14" x14ac:dyDescent="0.2">
      <c r="F54" s="78"/>
      <c r="G54" s="257"/>
      <c r="H54" s="96"/>
      <c r="I54" s="97"/>
      <c r="J54" s="97"/>
      <c r="K54" s="97"/>
      <c r="L54" s="37"/>
      <c r="M54" s="38"/>
      <c r="N54" s="51"/>
    </row>
    <row r="55" spans="1:14" x14ac:dyDescent="0.2">
      <c r="B55" s="1" t="s">
        <v>372</v>
      </c>
      <c r="F55" s="78"/>
      <c r="G55" s="256">
        <f t="shared" ref="G55:L55" si="19">SUM(G48:G54)</f>
        <v>5391.5</v>
      </c>
      <c r="H55" s="98">
        <f t="shared" si="19"/>
        <v>5392</v>
      </c>
      <c r="I55" s="99">
        <f t="shared" ref="I55" si="20">SUM(I48:I54)</f>
        <v>4427</v>
      </c>
      <c r="J55" s="99">
        <f t="shared" ref="J55" si="21">SUM(J48:J54)</f>
        <v>6005</v>
      </c>
      <c r="K55" s="99">
        <f t="shared" ref="K55" si="22">SUM(K48:K54)</f>
        <v>6195</v>
      </c>
      <c r="L55" s="54">
        <f t="shared" si="19"/>
        <v>4954</v>
      </c>
      <c r="M55" s="53">
        <f>IF($D$4=$H$5,H55-L55,IF($D$4=$I$5,I55-L55,IF($D$4=$J$5,J55-L55,K55-L55)))</f>
        <v>1241</v>
      </c>
      <c r="N55" s="55">
        <f>IF($D$4=$H$5,H55-G50,IF($D$4=$I$5,I55-G50,IF($D$4=$J$5,J55-G50,K55-G50)))</f>
        <v>803.5</v>
      </c>
    </row>
    <row r="56" spans="1:14" x14ac:dyDescent="0.2">
      <c r="F56" s="78"/>
      <c r="G56" s="37"/>
      <c r="H56" s="96"/>
      <c r="I56" s="97"/>
      <c r="J56" s="97"/>
      <c r="K56" s="97"/>
      <c r="L56" s="37"/>
      <c r="M56" s="38"/>
      <c r="N56" s="51"/>
    </row>
    <row r="57" spans="1:14" x14ac:dyDescent="0.2">
      <c r="A57" s="1" t="s">
        <v>373</v>
      </c>
      <c r="F57" s="78"/>
      <c r="G57" s="37"/>
      <c r="H57" s="96"/>
      <c r="I57" s="97"/>
      <c r="J57" s="97"/>
      <c r="K57" s="97"/>
      <c r="L57" s="37"/>
      <c r="M57" s="38"/>
      <c r="N57" s="51"/>
    </row>
    <row r="58" spans="1:14" ht="13.2" x14ac:dyDescent="0.25">
      <c r="B58" s="60" t="s">
        <v>416</v>
      </c>
      <c r="F58" s="78" t="s">
        <v>374</v>
      </c>
      <c r="G58" s="37">
        <v>60000</v>
      </c>
      <c r="H58" s="96">
        <v>60000</v>
      </c>
      <c r="I58" s="97">
        <v>60000</v>
      </c>
      <c r="J58" s="97">
        <v>60000</v>
      </c>
      <c r="K58" s="97">
        <v>60000</v>
      </c>
      <c r="L58" s="37">
        <v>60000</v>
      </c>
      <c r="M58" s="38"/>
      <c r="N58" s="51"/>
    </row>
    <row r="59" spans="1:14" x14ac:dyDescent="0.2">
      <c r="B59" t="s">
        <v>375</v>
      </c>
      <c r="F59" s="78"/>
      <c r="G59" s="37"/>
      <c r="H59" s="96"/>
      <c r="I59" s="97"/>
      <c r="J59" s="97"/>
      <c r="K59" s="97"/>
      <c r="L59" s="37"/>
      <c r="M59" s="38"/>
      <c r="N59" s="51"/>
    </row>
    <row r="60" spans="1:14" x14ac:dyDescent="0.2">
      <c r="B60" t="s">
        <v>376</v>
      </c>
      <c r="F60" s="78"/>
      <c r="G60" s="37">
        <v>112459</v>
      </c>
      <c r="H60" s="96">
        <v>122862</v>
      </c>
      <c r="I60" s="97">
        <f>197418-64427</f>
        <v>132991</v>
      </c>
      <c r="J60" s="97">
        <v>129051</v>
      </c>
      <c r="K60" s="97">
        <v>127977</v>
      </c>
      <c r="L60" s="37">
        <v>113053</v>
      </c>
      <c r="M60" s="38"/>
      <c r="N60" s="51"/>
    </row>
    <row r="61" spans="1:14" x14ac:dyDescent="0.2">
      <c r="F61" s="78"/>
      <c r="G61" s="37"/>
      <c r="H61" s="96"/>
      <c r="I61" s="97"/>
      <c r="J61" s="97"/>
      <c r="K61" s="97"/>
      <c r="L61" s="37"/>
      <c r="M61" s="38"/>
      <c r="N61" s="51"/>
    </row>
    <row r="62" spans="1:14" x14ac:dyDescent="0.2">
      <c r="B62" s="1" t="s">
        <v>377</v>
      </c>
      <c r="F62" s="78"/>
      <c r="G62" s="54">
        <f t="shared" ref="G62:L62" si="23">SUM(G58:G61)</f>
        <v>172459</v>
      </c>
      <c r="H62" s="98">
        <f t="shared" si="23"/>
        <v>182862</v>
      </c>
      <c r="I62" s="99">
        <f t="shared" ref="I62" si="24">SUM(I58:I61)</f>
        <v>192991</v>
      </c>
      <c r="J62" s="99">
        <f t="shared" ref="J62" si="25">SUM(J58:J61)</f>
        <v>189051</v>
      </c>
      <c r="K62" s="99">
        <f t="shared" ref="K62" si="26">SUM(K58:K61)</f>
        <v>187977</v>
      </c>
      <c r="L62" s="54">
        <f t="shared" si="23"/>
        <v>173053</v>
      </c>
      <c r="M62" s="53">
        <f>IF($D$4=$H$5,H62-L62,IF($D$4=$I$5,I62-L62,IF($D$4=$J$5,J62-L62,K62-L62)))</f>
        <v>14924</v>
      </c>
      <c r="N62" s="55">
        <f>IF($D$4=$H$5,H62-G62,IF($D$4=$I$5,I62-G62,IF($D$4=$J$5,J62-G62,K62-G62)))</f>
        <v>15518</v>
      </c>
    </row>
    <row r="63" spans="1:14" x14ac:dyDescent="0.2">
      <c r="F63" s="78"/>
      <c r="G63" s="37"/>
      <c r="H63" s="96"/>
      <c r="I63" s="97"/>
      <c r="J63" s="97"/>
      <c r="K63" s="97"/>
      <c r="L63" s="37"/>
      <c r="M63" s="38"/>
      <c r="N63" s="51"/>
    </row>
    <row r="64" spans="1:14" ht="13.2" thickBot="1" x14ac:dyDescent="0.25">
      <c r="A64" s="1" t="s">
        <v>378</v>
      </c>
      <c r="F64" s="82"/>
      <c r="G64" s="43">
        <f t="shared" ref="G64:L64" si="27">+G55+G62</f>
        <v>177850.5</v>
      </c>
      <c r="H64" s="104">
        <f t="shared" si="27"/>
        <v>188254</v>
      </c>
      <c r="I64" s="105">
        <f t="shared" si="27"/>
        <v>197418</v>
      </c>
      <c r="J64" s="105">
        <f t="shared" si="27"/>
        <v>195056</v>
      </c>
      <c r="K64" s="105">
        <f t="shared" si="27"/>
        <v>194172</v>
      </c>
      <c r="L64" s="43">
        <f t="shared" si="27"/>
        <v>178007</v>
      </c>
      <c r="M64" s="44">
        <f>IF($D$4=$H$5,H64-L64,IF($D$4=$I$5,I64-L64,IF($D$4=$J$5,J64-L64,K64-L64)))</f>
        <v>16165</v>
      </c>
      <c r="N64" s="58">
        <f>IF($D$4=$H$5,H64-G64,IF($D$4=$I$5,I64-G64,IF($D$4=$J$5,J64-G64,K64-G64)))</f>
        <v>16321.5</v>
      </c>
    </row>
    <row r="65" spans="1:14" ht="13.2" thickTop="1" x14ac:dyDescent="0.2">
      <c r="F65" s="9"/>
      <c r="G65" s="38"/>
      <c r="H65" s="97"/>
      <c r="I65" s="93"/>
      <c r="J65" s="93"/>
      <c r="K65" s="93"/>
      <c r="L65" s="38"/>
      <c r="M65" s="34"/>
      <c r="N65" s="34"/>
    </row>
    <row r="66" spans="1:14" x14ac:dyDescent="0.2">
      <c r="A66" t="s">
        <v>399</v>
      </c>
      <c r="F66" s="9"/>
      <c r="G66" s="228">
        <f>+G45-G64</f>
        <v>4.9999999988358468E-2</v>
      </c>
      <c r="H66" s="252">
        <f>+H45-H64</f>
        <v>0</v>
      </c>
      <c r="I66" s="106">
        <f t="shared" ref="I66:K66" si="28">+I45-I64</f>
        <v>0</v>
      </c>
      <c r="J66" s="107">
        <f t="shared" si="28"/>
        <v>0</v>
      </c>
      <c r="K66" s="107">
        <f t="shared" si="28"/>
        <v>0</v>
      </c>
      <c r="L66" s="228">
        <f t="shared" ref="L66:N66" si="29">+L45-L64</f>
        <v>0</v>
      </c>
      <c r="M66" s="228">
        <f t="shared" si="29"/>
        <v>0</v>
      </c>
      <c r="N66" s="249">
        <f t="shared" si="29"/>
        <v>-4.9999999988358468E-2</v>
      </c>
    </row>
    <row r="67" spans="1:14" x14ac:dyDescent="0.2">
      <c r="H67" s="226"/>
      <c r="I67" s="87"/>
      <c r="J67" s="87"/>
      <c r="K67" s="87"/>
      <c r="L67" s="229"/>
    </row>
    <row r="68" spans="1:14" x14ac:dyDescent="0.2">
      <c r="H68" s="226"/>
      <c r="I68" s="87"/>
      <c r="J68" s="87"/>
      <c r="K68" s="83"/>
    </row>
    <row r="69" spans="1:14" x14ac:dyDescent="0.2">
      <c r="H69" s="87"/>
      <c r="I69" s="87"/>
      <c r="J69" s="87"/>
      <c r="K69" s="87"/>
    </row>
    <row r="70" spans="1:14" x14ac:dyDescent="0.2">
      <c r="A70" s="1" t="s">
        <v>400</v>
      </c>
      <c r="F70" s="13"/>
      <c r="G70" s="13"/>
      <c r="H70" s="108"/>
      <c r="I70" s="108"/>
      <c r="J70" s="108"/>
      <c r="K70" s="108"/>
    </row>
    <row r="71" spans="1:14" x14ac:dyDescent="0.2">
      <c r="B71" t="s">
        <v>401</v>
      </c>
      <c r="F71" s="12">
        <v>3115</v>
      </c>
      <c r="G71" s="111"/>
      <c r="H71" s="109"/>
      <c r="I71" s="110"/>
      <c r="J71" s="110"/>
      <c r="K71" s="111"/>
      <c r="L71" s="23"/>
    </row>
    <row r="72" spans="1:14" x14ac:dyDescent="0.2">
      <c r="B72" t="s">
        <v>402</v>
      </c>
      <c r="F72" s="3">
        <v>3116</v>
      </c>
      <c r="G72" s="111"/>
      <c r="H72" s="109"/>
      <c r="I72" s="110"/>
      <c r="J72" s="110"/>
      <c r="K72" s="111"/>
      <c r="L72" s="32"/>
    </row>
    <row r="73" spans="1:14" x14ac:dyDescent="0.2">
      <c r="B73" t="s">
        <v>403</v>
      </c>
      <c r="F73" s="3">
        <v>3112</v>
      </c>
      <c r="G73" s="111"/>
      <c r="H73" s="109"/>
      <c r="I73" s="110"/>
      <c r="J73" s="110"/>
      <c r="K73" s="111"/>
      <c r="L73" s="32"/>
    </row>
    <row r="74" spans="1:14" x14ac:dyDescent="0.2">
      <c r="B74" t="s">
        <v>347</v>
      </c>
      <c r="F74" s="3">
        <v>3113</v>
      </c>
      <c r="G74" s="111"/>
      <c r="H74" s="109"/>
      <c r="I74" s="110"/>
      <c r="J74" s="110"/>
      <c r="K74" s="111"/>
      <c r="L74" s="32"/>
    </row>
    <row r="75" spans="1:14" x14ac:dyDescent="0.2">
      <c r="B75" t="s">
        <v>404</v>
      </c>
      <c r="F75" s="3">
        <v>3117</v>
      </c>
      <c r="G75" s="111"/>
      <c r="H75" s="109"/>
      <c r="I75" s="110"/>
      <c r="J75" s="110"/>
      <c r="K75" s="111"/>
      <c r="L75" s="32"/>
    </row>
    <row r="76" spans="1:14" x14ac:dyDescent="0.2">
      <c r="B76" t="s">
        <v>405</v>
      </c>
      <c r="F76" s="3">
        <v>3118</v>
      </c>
      <c r="G76" s="111"/>
      <c r="H76" s="109"/>
      <c r="I76" s="110"/>
      <c r="J76" s="110"/>
      <c r="K76" s="111"/>
      <c r="L76" s="32"/>
    </row>
    <row r="77" spans="1:14" x14ac:dyDescent="0.2">
      <c r="B77" t="s">
        <v>406</v>
      </c>
      <c r="F77" s="3">
        <v>3119</v>
      </c>
      <c r="G77" s="111"/>
      <c r="H77" s="109"/>
      <c r="I77" s="110"/>
      <c r="J77" s="110"/>
      <c r="K77" s="111"/>
      <c r="L77" s="32"/>
    </row>
    <row r="78" spans="1:14" x14ac:dyDescent="0.2">
      <c r="B78" t="s">
        <v>407</v>
      </c>
      <c r="F78" s="3">
        <v>3120</v>
      </c>
      <c r="G78" s="19"/>
      <c r="H78" s="109"/>
      <c r="I78" s="110"/>
      <c r="J78" s="110"/>
      <c r="K78" s="111"/>
      <c r="L78" s="32"/>
    </row>
    <row r="79" spans="1:14" x14ac:dyDescent="0.2">
      <c r="B79" t="s">
        <v>408</v>
      </c>
      <c r="F79" s="3">
        <v>3121</v>
      </c>
      <c r="G79" s="19"/>
      <c r="H79" s="109"/>
      <c r="I79" s="110"/>
      <c r="J79" s="110"/>
      <c r="K79" s="111"/>
      <c r="L79" s="32"/>
    </row>
    <row r="80" spans="1:14" x14ac:dyDescent="0.2">
      <c r="B80" t="s">
        <v>409</v>
      </c>
      <c r="F80" s="3">
        <v>3122</v>
      </c>
      <c r="G80" s="19"/>
      <c r="H80" s="109"/>
      <c r="I80" s="110"/>
      <c r="J80" s="110"/>
      <c r="K80" s="111"/>
      <c r="L80" s="32"/>
    </row>
    <row r="81" spans="2:12" x14ac:dyDescent="0.2">
      <c r="B81" t="s">
        <v>410</v>
      </c>
      <c r="F81" s="3">
        <v>3123</v>
      </c>
      <c r="G81" s="19"/>
      <c r="H81" s="109"/>
      <c r="I81" s="110"/>
      <c r="J81" s="110"/>
      <c r="K81" s="111"/>
      <c r="L81" s="32"/>
    </row>
    <row r="82" spans="2:12" x14ac:dyDescent="0.2">
      <c r="F82" s="3"/>
      <c r="G82" s="19"/>
      <c r="H82" s="109"/>
      <c r="I82" s="110"/>
      <c r="J82" s="110"/>
      <c r="K82" s="111"/>
      <c r="L82" s="32"/>
    </row>
    <row r="83" spans="2:12" x14ac:dyDescent="0.2">
      <c r="F83" s="20"/>
      <c r="G83" s="19"/>
      <c r="H83" s="109"/>
      <c r="I83" s="110"/>
      <c r="J83" s="110"/>
      <c r="K83" s="111"/>
      <c r="L83" s="32"/>
    </row>
    <row r="84" spans="2:12" ht="13.2" thickBot="1" x14ac:dyDescent="0.25">
      <c r="B84" s="1" t="s">
        <v>263</v>
      </c>
      <c r="F84" s="21"/>
      <c r="G84" s="22">
        <f>SUM(G71:G83)</f>
        <v>0</v>
      </c>
      <c r="H84" s="112">
        <f>SUM(H71:H83)</f>
        <v>0</v>
      </c>
      <c r="I84" s="113">
        <f>SUM(I71:I83)</f>
        <v>0</v>
      </c>
      <c r="J84" s="113">
        <f>SUM(J71:J83)</f>
        <v>0</v>
      </c>
      <c r="K84" s="114">
        <f>SUM(K71:K83)</f>
        <v>0</v>
      </c>
      <c r="L84" s="33"/>
    </row>
    <row r="85" spans="2:12" ht="13.2" thickTop="1" x14ac:dyDescent="0.2"/>
  </sheetData>
  <sheetProtection algorithmName="SHA-512" hashValue="TJYTCdp39h+EnDF0uwor+kgdQikbvF/DnLAo6M6QPoIAgM7fgJjztzdRE/SlT/vxGizbx9zmIw7aCch1n8nzrA==" saltValue="GYORMXSG4UQM/Dpm7+LakQ==" spinCount="100000" sheet="1" objects="1" scenarios="1"/>
  <phoneticPr fontId="4" type="noConversion"/>
  <pageMargins left="0.75" right="0.75" top="1" bottom="1" header="0.5" footer="0.5"/>
  <pageSetup scale="52" orientation="landscape" horizontalDpi="4294967292" verticalDpi="4294967292"/>
  <headerFooter alignWithMargins="0">
    <oddFooter>&amp;L&amp;F&amp;C&amp;D&amp;R&amp;A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3"/>
    <pageSetUpPr fitToPage="1"/>
  </sheetPr>
  <dimension ref="A1:P31"/>
  <sheetViews>
    <sheetView topLeftCell="B1" zoomScaleNormal="100" workbookViewId="0"/>
  </sheetViews>
  <sheetFormatPr defaultColWidth="11.08984375" defaultRowHeight="12.6" x14ac:dyDescent="0.2"/>
  <cols>
    <col min="1" max="1" width="5.7265625" style="116" customWidth="1"/>
    <col min="2" max="2" width="5.08984375" style="116" customWidth="1"/>
    <col min="3" max="3" width="4.6328125" style="116" customWidth="1"/>
    <col min="4" max="4" width="4.36328125" style="116" customWidth="1"/>
    <col min="5" max="5" width="4.7265625" style="116" customWidth="1"/>
    <col min="6" max="6" width="7.6328125" style="116" customWidth="1"/>
    <col min="7" max="7" width="12" style="116" customWidth="1"/>
    <col min="8" max="8" width="12.26953125" style="116" bestFit="1" customWidth="1"/>
    <col min="9" max="9" width="11.08984375" style="116"/>
    <col min="10" max="10" width="12.90625" style="116" customWidth="1"/>
    <col min="11" max="11" width="11.08984375" style="116"/>
    <col min="12" max="12" width="12" style="116" customWidth="1"/>
    <col min="13" max="13" width="12.08984375" style="116" customWidth="1"/>
    <col min="14" max="16384" width="11.08984375" style="116"/>
  </cols>
  <sheetData>
    <row r="1" spans="1:15" ht="16.2" x14ac:dyDescent="0.3">
      <c r="A1" s="115" t="s">
        <v>188</v>
      </c>
    </row>
    <row r="2" spans="1:15" x14ac:dyDescent="0.2">
      <c r="A2" s="117" t="s">
        <v>221</v>
      </c>
    </row>
    <row r="3" spans="1:15" ht="13.2" thickBot="1" x14ac:dyDescent="0.25">
      <c r="A3" s="118" t="s">
        <v>266</v>
      </c>
      <c r="H3" s="116">
        <v>1</v>
      </c>
      <c r="I3" s="116">
        <v>2</v>
      </c>
      <c r="J3" s="116">
        <v>3</v>
      </c>
      <c r="K3" s="116">
        <v>4</v>
      </c>
    </row>
    <row r="4" spans="1:15" customFormat="1" ht="13.2" thickBot="1" x14ac:dyDescent="0.25">
      <c r="A4" s="1" t="s">
        <v>34</v>
      </c>
      <c r="E4" s="18">
        <v>4</v>
      </c>
      <c r="G4" s="63" t="s">
        <v>263</v>
      </c>
      <c r="H4" s="8" t="s">
        <v>134</v>
      </c>
      <c r="I4" s="6" t="s">
        <v>134</v>
      </c>
      <c r="J4" s="6" t="s">
        <v>134</v>
      </c>
      <c r="K4" s="6" t="s">
        <v>134</v>
      </c>
      <c r="L4" s="72" t="s">
        <v>29</v>
      </c>
      <c r="M4" s="30" t="s">
        <v>19</v>
      </c>
      <c r="N4" s="73" t="s">
        <v>135</v>
      </c>
      <c r="O4" s="64" t="s">
        <v>136</v>
      </c>
    </row>
    <row r="5" spans="1:15" customFormat="1" x14ac:dyDescent="0.2">
      <c r="G5" s="62" t="s">
        <v>426</v>
      </c>
      <c r="H5" s="69">
        <v>41089</v>
      </c>
      <c r="I5" s="70">
        <v>41181</v>
      </c>
      <c r="J5" s="70">
        <v>41273</v>
      </c>
      <c r="K5" s="7">
        <v>41363</v>
      </c>
      <c r="L5" s="31" t="s">
        <v>438</v>
      </c>
      <c r="M5" s="27" t="s">
        <v>438</v>
      </c>
      <c r="N5" s="74" t="s">
        <v>19</v>
      </c>
      <c r="O5" s="66" t="s">
        <v>125</v>
      </c>
    </row>
    <row r="6" spans="1:15" x14ac:dyDescent="0.2">
      <c r="G6" s="120"/>
      <c r="L6" s="120"/>
      <c r="M6" s="120"/>
      <c r="O6" s="121"/>
    </row>
    <row r="7" spans="1:15" x14ac:dyDescent="0.2">
      <c r="A7" s="118" t="s">
        <v>59</v>
      </c>
      <c r="G7" s="122">
        <v>160714.9001</v>
      </c>
      <c r="H7" s="123">
        <f>G25</f>
        <v>177851</v>
      </c>
      <c r="I7" s="123">
        <f>H25</f>
        <v>188254.49</v>
      </c>
      <c r="J7" s="123">
        <f>I25</f>
        <v>197418.49</v>
      </c>
      <c r="K7" s="123">
        <f>J25</f>
        <v>195056.49</v>
      </c>
      <c r="L7" s="122">
        <f>G25</f>
        <v>177851</v>
      </c>
      <c r="M7" s="122">
        <f>L7</f>
        <v>177851</v>
      </c>
      <c r="N7" s="123">
        <f>L7-M7</f>
        <v>0</v>
      </c>
      <c r="O7" s="124">
        <f>L7-G7</f>
        <v>17136.099900000001</v>
      </c>
    </row>
    <row r="8" spans="1:15" x14ac:dyDescent="0.2">
      <c r="G8" s="125"/>
      <c r="H8" s="126"/>
      <c r="I8" s="126"/>
      <c r="J8" s="126"/>
      <c r="K8" s="126"/>
      <c r="L8" s="125"/>
      <c r="M8" s="125"/>
      <c r="N8" s="126"/>
      <c r="O8" s="127"/>
    </row>
    <row r="9" spans="1:15" x14ac:dyDescent="0.2">
      <c r="A9" s="118" t="s">
        <v>63</v>
      </c>
      <c r="G9" s="128">
        <v>2606.1000000000004</v>
      </c>
      <c r="H9" s="129">
        <f>+'AL Inc Stmt'!L88</f>
        <v>4403</v>
      </c>
      <c r="I9" s="129">
        <f>+'AL Inc Stmt'!M88</f>
        <v>2027</v>
      </c>
      <c r="J9" s="129">
        <f>+'AL Inc Stmt'!N88</f>
        <v>-3940</v>
      </c>
      <c r="K9" s="129">
        <f>+'AL Inc Stmt'!O88</f>
        <v>-1074</v>
      </c>
      <c r="L9" s="128">
        <f>SUM(H9:K9)</f>
        <v>1416</v>
      </c>
      <c r="M9" s="128">
        <f>'AL Inc Stmt'!Q88</f>
        <v>1956</v>
      </c>
      <c r="N9" s="129">
        <f>L9-M9</f>
        <v>-540</v>
      </c>
      <c r="O9" s="130">
        <f>L9-G9</f>
        <v>-1190.1000000000004</v>
      </c>
    </row>
    <row r="10" spans="1:15" x14ac:dyDescent="0.2">
      <c r="G10" s="131"/>
      <c r="H10" s="132"/>
      <c r="I10" s="132"/>
      <c r="J10" s="132"/>
      <c r="K10" s="132"/>
      <c r="L10" s="131"/>
      <c r="M10" s="131"/>
      <c r="N10" s="132"/>
      <c r="O10" s="133"/>
    </row>
    <row r="11" spans="1:15" x14ac:dyDescent="0.2">
      <c r="A11" s="118" t="s">
        <v>64</v>
      </c>
      <c r="G11" s="128">
        <v>-4799</v>
      </c>
      <c r="H11" s="129">
        <f>-'AL Inc Stmt'!L132</f>
        <v>0</v>
      </c>
      <c r="I11" s="129">
        <f>-'AL Inc Stmt'!M132</f>
        <v>0</v>
      </c>
      <c r="J11" s="129">
        <f>-'AL Inc Stmt'!N132</f>
        <v>0</v>
      </c>
      <c r="K11" s="129">
        <f>-'AL Inc Stmt'!O132</f>
        <v>0</v>
      </c>
      <c r="L11" s="128">
        <f>SUM(H11:K11)</f>
        <v>0</v>
      </c>
      <c r="M11" s="128">
        <f>-'AL Inc Stmt'!Q94</f>
        <v>-19800</v>
      </c>
      <c r="N11" s="129">
        <f>L11-M11</f>
        <v>19800</v>
      </c>
      <c r="O11" s="130">
        <f>L11-G11</f>
        <v>4799</v>
      </c>
    </row>
    <row r="12" spans="1:15" x14ac:dyDescent="0.2">
      <c r="G12" s="131"/>
      <c r="H12" s="132"/>
      <c r="I12" s="132"/>
      <c r="J12" s="132"/>
      <c r="K12" s="132"/>
      <c r="L12" s="131"/>
      <c r="M12" s="131"/>
      <c r="N12" s="132"/>
      <c r="O12" s="133"/>
    </row>
    <row r="13" spans="1:15" x14ac:dyDescent="0.2">
      <c r="A13" s="118" t="s">
        <v>61</v>
      </c>
      <c r="G13" s="128">
        <v>921.5</v>
      </c>
      <c r="H13" s="129">
        <f>IF(E4=1,'AL Bal Sheet'!H55-'AL Bal Sheet'!G50,'AL Bal Sheet'!H55-'AL Bal Sheet'!G50)-0.01</f>
        <v>0.49</v>
      </c>
      <c r="I13" s="129">
        <f>IF($E$4=2,'AL Bal Sheet'!I55-'AL Bal Sheet'!H55,IF(E4=3,'AL Bal Sheet'!I55-'AL Bal Sheet'!H55,IF(E4=4,'AL Bal Sheet'!I55-'AL Bal Sheet'!H55,0)))</f>
        <v>-965</v>
      </c>
      <c r="J13" s="129">
        <f>IF($E$4=3,'AL Bal Sheet'!J55-'AL Bal Sheet'!I55,IF(E4=4,'AL Bal Sheet'!J55-'AL Bal Sheet'!I55,0))</f>
        <v>1578</v>
      </c>
      <c r="K13" s="129">
        <f>IF($E$4=4,'AL Bal Sheet'!K55-'AL Bal Sheet'!J55,0)</f>
        <v>190</v>
      </c>
      <c r="L13" s="128">
        <f>SUM(H13:K13)</f>
        <v>803.49</v>
      </c>
      <c r="M13" s="128">
        <v>0</v>
      </c>
      <c r="N13" s="129">
        <f>L13-M13</f>
        <v>803.49</v>
      </c>
      <c r="O13" s="130">
        <f>L13-G13</f>
        <v>-118.00999999999999</v>
      </c>
    </row>
    <row r="14" spans="1:15" x14ac:dyDescent="0.2">
      <c r="G14" s="131"/>
      <c r="H14" s="126"/>
      <c r="I14" s="126"/>
      <c r="J14" s="126"/>
      <c r="K14" s="132"/>
      <c r="L14" s="131"/>
      <c r="M14" s="131"/>
      <c r="N14" s="132"/>
      <c r="O14" s="133"/>
    </row>
    <row r="15" spans="1:15" x14ac:dyDescent="0.2">
      <c r="G15" s="131"/>
      <c r="H15" s="132"/>
      <c r="I15" s="132"/>
      <c r="J15" s="132"/>
      <c r="K15" s="132"/>
      <c r="L15" s="131"/>
      <c r="M15" s="131"/>
      <c r="N15" s="132"/>
      <c r="O15" s="133"/>
    </row>
    <row r="16" spans="1:15" x14ac:dyDescent="0.2">
      <c r="A16" s="118" t="s">
        <v>62</v>
      </c>
      <c r="G16" s="128">
        <v>0</v>
      </c>
      <c r="H16" s="129">
        <f>IF(E7=1,'AL Bal Sheet'!H43-'AL Bal Sheet'!G43,'AL Bal Sheet'!H43-'AL Bal Sheet'!G43)</f>
        <v>0</v>
      </c>
      <c r="I16" s="129">
        <f>IF($E$4=2,'AL Bal Sheet'!I43-'AL Bal Sheet'!H43,IF(E7=3,'AL Bal Sheet'!I43-'AL Bal Sheet'!H43,IF(E7=4,'AL Bal Sheet'!I43-'AL Bal Sheet'!H43,0)))</f>
        <v>0</v>
      </c>
      <c r="J16" s="129">
        <f>IF($E$4=3,'AL Bal Sheet'!J43-'AL Bal Sheet'!I43,IF(E7=4,'AL Bal Sheet'!J43-'AL Bal Sheet'!I43,0))</f>
        <v>0</v>
      </c>
      <c r="K16" s="129">
        <f>IF($E$4=4,'ESL Bal Sheet'!K43-'ESL Bal Sheet'!J43,0)</f>
        <v>0</v>
      </c>
      <c r="L16" s="128">
        <f>SUM(H16:K16)</f>
        <v>0</v>
      </c>
      <c r="M16" s="128">
        <v>0</v>
      </c>
      <c r="N16" s="129">
        <f>L16-M16</f>
        <v>0</v>
      </c>
      <c r="O16" s="130">
        <f>L16-G16</f>
        <v>0</v>
      </c>
    </row>
    <row r="17" spans="1:16" x14ac:dyDescent="0.2">
      <c r="G17" s="131"/>
      <c r="H17" s="132"/>
      <c r="I17" s="132"/>
      <c r="J17" s="132"/>
      <c r="K17" s="132"/>
      <c r="L17" s="131"/>
      <c r="M17" s="131"/>
      <c r="N17" s="132"/>
      <c r="O17" s="133"/>
    </row>
    <row r="18" spans="1:16" x14ac:dyDescent="0.2">
      <c r="A18" s="118" t="s">
        <v>65</v>
      </c>
      <c r="G18" s="131"/>
      <c r="H18" s="132"/>
      <c r="I18" s="132"/>
      <c r="J18" s="132"/>
      <c r="K18" s="132"/>
      <c r="L18" s="131"/>
      <c r="M18" s="131"/>
      <c r="N18" s="132"/>
      <c r="O18" s="133"/>
    </row>
    <row r="19" spans="1:16" x14ac:dyDescent="0.2">
      <c r="B19" s="116" t="s">
        <v>26</v>
      </c>
      <c r="G19" s="131">
        <v>0</v>
      </c>
      <c r="H19" s="132"/>
      <c r="I19" s="132"/>
      <c r="J19" s="132"/>
      <c r="K19" s="132"/>
      <c r="L19" s="131">
        <f>SUM(H19:K19)</f>
        <v>0</v>
      </c>
      <c r="M19" s="131"/>
      <c r="N19" s="132">
        <f>L19-M19</f>
        <v>0</v>
      </c>
      <c r="O19" s="133">
        <f>L19-G19</f>
        <v>0</v>
      </c>
    </row>
    <row r="20" spans="1:16" x14ac:dyDescent="0.2">
      <c r="B20" s="116" t="s">
        <v>56</v>
      </c>
      <c r="G20" s="131">
        <v>0</v>
      </c>
      <c r="H20" s="132">
        <f>+'AL Inc Stmt'!L104</f>
        <v>0</v>
      </c>
      <c r="I20" s="132">
        <f>+'AL Inc Stmt'!M104</f>
        <v>0</v>
      </c>
      <c r="J20" s="132">
        <f>+'AL Inc Stmt'!N104</f>
        <v>0</v>
      </c>
      <c r="K20" s="132">
        <f>+'AL Inc Stmt'!O104</f>
        <v>0</v>
      </c>
      <c r="L20" s="131">
        <f>SUM(H20:K20)</f>
        <v>0</v>
      </c>
      <c r="M20" s="131"/>
      <c r="N20" s="132">
        <f>L20-M20</f>
        <v>0</v>
      </c>
      <c r="O20" s="133">
        <f>L20-G20</f>
        <v>0</v>
      </c>
    </row>
    <row r="21" spans="1:16" x14ac:dyDescent="0.2">
      <c r="B21" s="116" t="s">
        <v>57</v>
      </c>
      <c r="G21" s="131">
        <v>18407</v>
      </c>
      <c r="H21" s="132">
        <f>+'AL Inc Stmt'!L109</f>
        <v>6000</v>
      </c>
      <c r="I21" s="132">
        <f>+'AL Inc Stmt'!M109</f>
        <v>8102</v>
      </c>
      <c r="J21" s="132">
        <f>+'AL Inc Stmt'!N109</f>
        <v>0</v>
      </c>
      <c r="K21" s="132">
        <f>+'AL Inc Stmt'!O109</f>
        <v>0</v>
      </c>
      <c r="L21" s="131">
        <f>SUM(H21:K21)</f>
        <v>14102</v>
      </c>
      <c r="M21" s="131">
        <f>'AL Inc Stmt'!Q99+'AL Inc Stmt'!Q101</f>
        <v>18000</v>
      </c>
      <c r="N21" s="132">
        <f>L21-M21</f>
        <v>-3898</v>
      </c>
      <c r="O21" s="133">
        <f>L21-G21</f>
        <v>-4305</v>
      </c>
    </row>
    <row r="22" spans="1:16" x14ac:dyDescent="0.2">
      <c r="G22" s="131"/>
      <c r="H22" s="132"/>
      <c r="I22" s="132"/>
      <c r="J22" s="132"/>
      <c r="K22" s="132"/>
      <c r="L22" s="131"/>
      <c r="M22" s="131"/>
      <c r="N22" s="132"/>
      <c r="O22" s="133"/>
    </row>
    <row r="23" spans="1:16" x14ac:dyDescent="0.2">
      <c r="B23" s="118" t="s">
        <v>58</v>
      </c>
      <c r="G23" s="128">
        <v>18407</v>
      </c>
      <c r="H23" s="129">
        <f t="shared" ref="H23:M23" si="0">SUM(H19:H21)</f>
        <v>6000</v>
      </c>
      <c r="I23" s="129">
        <f t="shared" si="0"/>
        <v>8102</v>
      </c>
      <c r="J23" s="129">
        <f t="shared" si="0"/>
        <v>0</v>
      </c>
      <c r="K23" s="129">
        <f t="shared" si="0"/>
        <v>0</v>
      </c>
      <c r="L23" s="128">
        <f t="shared" si="0"/>
        <v>14102</v>
      </c>
      <c r="M23" s="128">
        <f t="shared" si="0"/>
        <v>18000</v>
      </c>
      <c r="N23" s="129">
        <f>L23-M23</f>
        <v>-3898</v>
      </c>
      <c r="O23" s="130">
        <f>L23-G23</f>
        <v>-4305</v>
      </c>
    </row>
    <row r="24" spans="1:16" x14ac:dyDescent="0.2">
      <c r="G24" s="134"/>
      <c r="H24" s="126"/>
      <c r="I24" s="126"/>
      <c r="J24" s="126"/>
      <c r="K24" s="126"/>
      <c r="L24" s="134"/>
      <c r="M24" s="134"/>
      <c r="N24" s="126"/>
      <c r="O24" s="127"/>
    </row>
    <row r="25" spans="1:16" ht="13.2" thickBot="1" x14ac:dyDescent="0.25">
      <c r="A25" s="118" t="s">
        <v>60</v>
      </c>
      <c r="G25" s="135">
        <v>177851</v>
      </c>
      <c r="H25" s="136">
        <f t="shared" ref="H25:M25" si="1">+H7+H9+H11+H13+H16+H23</f>
        <v>188254.49</v>
      </c>
      <c r="I25" s="136">
        <f t="shared" si="1"/>
        <v>197418.49</v>
      </c>
      <c r="J25" s="136">
        <f t="shared" si="1"/>
        <v>195056.49</v>
      </c>
      <c r="K25" s="136">
        <f t="shared" si="1"/>
        <v>194172.49</v>
      </c>
      <c r="L25" s="135">
        <f t="shared" si="1"/>
        <v>194172.49</v>
      </c>
      <c r="M25" s="135">
        <f t="shared" si="1"/>
        <v>178007</v>
      </c>
      <c r="N25" s="136">
        <f>L25-M25</f>
        <v>16165.489999999991</v>
      </c>
      <c r="O25" s="137">
        <f>L25-G25</f>
        <v>16321.489999999991</v>
      </c>
    </row>
    <row r="26" spans="1:16" ht="13.2" thickTop="1" x14ac:dyDescent="0.2">
      <c r="G26" s="132"/>
      <c r="H26" s="132"/>
      <c r="I26" s="132"/>
      <c r="J26" s="132"/>
      <c r="K26" s="132"/>
      <c r="L26" s="132"/>
      <c r="M26" s="132"/>
      <c r="N26" s="132"/>
      <c r="O26" s="132"/>
    </row>
    <row r="27" spans="1:16" x14ac:dyDescent="0.2">
      <c r="G27" s="132"/>
      <c r="H27" s="132"/>
      <c r="I27" s="132"/>
      <c r="J27" s="132"/>
      <c r="K27" s="132"/>
      <c r="L27" s="132"/>
      <c r="M27" s="132"/>
      <c r="N27" s="132"/>
      <c r="O27" s="132"/>
    </row>
    <row r="28" spans="1:16" x14ac:dyDescent="0.2">
      <c r="A28" s="116" t="s">
        <v>69</v>
      </c>
      <c r="G28" s="126"/>
      <c r="H28" s="126"/>
      <c r="I28" s="126"/>
      <c r="J28" s="126"/>
      <c r="K28" s="126"/>
      <c r="L28" s="126"/>
      <c r="M28" s="126"/>
      <c r="N28" s="126"/>
      <c r="O28" s="126"/>
    </row>
    <row r="29" spans="1:16" x14ac:dyDescent="0.2">
      <c r="B29" s="116" t="s">
        <v>70</v>
      </c>
      <c r="G29" s="132">
        <v>177850.55</v>
      </c>
      <c r="H29" s="132">
        <f>+'AL Bal Sheet'!H29</f>
        <v>188254</v>
      </c>
      <c r="I29" s="132">
        <f>+'AL Bal Sheet'!I29</f>
        <v>197418</v>
      </c>
      <c r="J29" s="132">
        <f>+'AL Bal Sheet'!J29</f>
        <v>195056</v>
      </c>
      <c r="K29" s="132">
        <f>+'AL Bal Sheet'!K29</f>
        <v>194172</v>
      </c>
      <c r="L29" s="132">
        <f>K29</f>
        <v>194172</v>
      </c>
      <c r="M29" s="132">
        <f>+'AL Bal Sheet'!L29</f>
        <v>178007</v>
      </c>
      <c r="N29" s="132"/>
      <c r="O29" s="132"/>
    </row>
    <row r="30" spans="1:16" ht="13.2" thickBot="1" x14ac:dyDescent="0.25">
      <c r="B30" s="116" t="s">
        <v>71</v>
      </c>
      <c r="G30" s="138">
        <v>-4.9899999983608723E-2</v>
      </c>
      <c r="H30" s="138">
        <f t="shared" ref="H30:M30" si="2">+H25-H29</f>
        <v>0.48999999999068677</v>
      </c>
      <c r="I30" s="138">
        <f t="shared" si="2"/>
        <v>0.48999999999068677</v>
      </c>
      <c r="J30" s="138">
        <f t="shared" si="2"/>
        <v>0.48999999999068677</v>
      </c>
      <c r="K30" s="138">
        <f t="shared" si="2"/>
        <v>0.48999999999068677</v>
      </c>
      <c r="L30" s="138">
        <f t="shared" si="2"/>
        <v>0.48999999999068677</v>
      </c>
      <c r="M30" s="138">
        <f t="shared" si="2"/>
        <v>0</v>
      </c>
      <c r="N30" s="126"/>
      <c r="O30" s="126"/>
      <c r="P30" s="126"/>
    </row>
    <row r="31" spans="1:16" ht="13.2" thickTop="1" x14ac:dyDescent="0.2">
      <c r="G31" s="132"/>
      <c r="M31" s="248"/>
    </row>
  </sheetData>
  <sheetProtection algorithmName="SHA-512" hashValue="iSpBkJOB5TxncdKhDjKIBAG6kopcKY26tCT5wZxoFFuRPNoz/jlfwb/FEwx3xZAjFpaNxeQ+SNYKRUyr1blJpw==" saltValue="R0YtiRkxH3I7qrucCpN5FQ==" spinCount="100000" sheet="1" objects="1" scenarios="1"/>
  <phoneticPr fontId="4" type="noConversion"/>
  <pageMargins left="0.75" right="0.75" top="1" bottom="1" header="0.5" footer="0.5"/>
  <pageSetup scale="78" orientation="landscape" horizontalDpi="4294967293" verticalDpi="4294967293" r:id="rId1"/>
  <headerFooter alignWithMargins="0">
    <oddFooter>&amp;L&amp;F&amp;C&amp;D&amp;R&amp;A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Consol Inc Stmt</vt:lpstr>
      <vt:lpstr>Consol Bal Sheet</vt:lpstr>
      <vt:lpstr>Consol CF Smt</vt:lpstr>
      <vt:lpstr>CAC Inc Stmt</vt:lpstr>
      <vt:lpstr>CAC Bal Sheet</vt:lpstr>
      <vt:lpstr>CAC CF Smt</vt:lpstr>
      <vt:lpstr>AL Inc Stmt</vt:lpstr>
      <vt:lpstr>AL Bal Sheet</vt:lpstr>
      <vt:lpstr>AL CF Smt</vt:lpstr>
      <vt:lpstr>ESL Inc Stmt</vt:lpstr>
      <vt:lpstr>ESL Bal Sheet</vt:lpstr>
      <vt:lpstr>ESL CF Smt</vt:lpstr>
      <vt:lpstr>'AL Bal Sheet'!Print_Titles</vt:lpstr>
      <vt:lpstr>'AL CF Smt'!Print_Titles</vt:lpstr>
      <vt:lpstr>'AL Inc Stmt'!Print_Titles</vt:lpstr>
      <vt:lpstr>'CAC Bal Sheet'!Print_Titles</vt:lpstr>
      <vt:lpstr>'CAC CF Smt'!Print_Titles</vt:lpstr>
      <vt:lpstr>'CAC Inc Stmt'!Print_Titles</vt:lpstr>
      <vt:lpstr>'Consol Bal Sheet'!Print_Titles</vt:lpstr>
      <vt:lpstr>'Consol CF Smt'!Print_Titles</vt:lpstr>
      <vt:lpstr>'Consol Inc Stmt'!Print_Titles</vt:lpstr>
      <vt:lpstr>'ESL Bal Sheet'!Print_Titles</vt:lpstr>
      <vt:lpstr>'ESL CF Smt'!Print_Titles</vt:lpstr>
      <vt:lpstr>'ESL Inc Stmt'!Print_Titles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Toran</dc:creator>
  <cp:lastModifiedBy>William Mayers</cp:lastModifiedBy>
  <cp:lastPrinted>2017-04-11T18:27:05Z</cp:lastPrinted>
  <dcterms:created xsi:type="dcterms:W3CDTF">2011-09-19T18:17:28Z</dcterms:created>
  <dcterms:modified xsi:type="dcterms:W3CDTF">2017-04-11T20:27:35Z</dcterms:modified>
</cp:coreProperties>
</file>