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22060" windowHeight="17900" tabRatio="3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<sst xmlns="http://schemas.openxmlformats.org/spreadsheetml/2006/main" count="39" uniqueCount="30">
  <si>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Program Services</t>
  </si>
  <si>
    <t>Investment Income</t>
  </si>
  <si>
    <t>Donations</t>
  </si>
  <si>
    <t>Non-Taxable Revenue</t>
  </si>
  <si>
    <t>Alpine</t>
  </si>
  <si>
    <t>Echo</t>
  </si>
  <si>
    <t>CAC</t>
  </si>
  <si>
    <t>Other Income</t>
  </si>
  <si>
    <t>FY 2010</t>
  </si>
  <si>
    <t>FY 2011</t>
  </si>
  <si>
    <t>FY 2012</t>
  </si>
  <si>
    <t>Full Year</t>
  </si>
  <si>
    <t>2010 incudes $15K assessment</t>
  </si>
  <si>
    <t>TOTAL Non - Taxable Revenue</t>
  </si>
  <si>
    <t>UBI Calculations</t>
  </si>
  <si>
    <t>CAC - Membership Fees</t>
  </si>
  <si>
    <t>Echo - Non-member Income</t>
  </si>
  <si>
    <t>Alpine - Non-member Income</t>
  </si>
  <si>
    <t>Alpine - Apartment Rental</t>
  </si>
  <si>
    <t>UBI Percentage (15% Rule)</t>
  </si>
  <si>
    <t>UBI Revenue</t>
  </si>
  <si>
    <t>UBI Percentage (35% Rule)</t>
  </si>
  <si>
    <t>2012 includes bequest of $50,000</t>
  </si>
  <si>
    <t>Difference</t>
  </si>
  <si>
    <t>FY 2013</t>
  </si>
  <si>
    <t>2013 - Tam building rented for one month only.</t>
  </si>
  <si>
    <t>2013-2012</t>
  </si>
  <si>
    <t>2011 and 2013 Lack of snow, and 2013 forest fire</t>
  </si>
  <si>
    <t>Prepared by: Bill Mayers 4/11/2014</t>
  </si>
  <si>
    <t>Total California Alpine Club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</si>
</sst>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3" fillId="29" borderId="0" xfId="0" applyFont="1" applyFill="1" applyAlignment="1">
      <alignment/>
    </xf>
    <xf numFmtId="0" fontId="2" fillId="29" borderId="0" xfId="0" applyFont="1" applyFill="1" applyAlignment="1">
      <alignment/>
    </xf>
    <xf numFmtId="3" fontId="3" fillId="29" borderId="0" xfId="0" applyNumberFormat="1" applyFont="1" applyFill="1" applyAlignment="1">
      <alignment/>
    </xf>
    <xf numFmtId="3" fontId="3" fillId="30" borderId="0" xfId="0" applyNumberFormat="1" applyFont="1" applyFill="1" applyAlignment="1">
      <alignment/>
    </xf>
    <xf numFmtId="0" fontId="3" fillId="31" borderId="0" xfId="0" applyFont="1" applyFill="1" applyAlignment="1">
      <alignment/>
    </xf>
    <xf numFmtId="3" fontId="3" fillId="31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164" fontId="5" fillId="6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3" fillId="31" borderId="0" xfId="0" applyFont="1" applyFill="1" applyAlignment="1">
      <alignment horizontal="center"/>
    </xf>
    <xf numFmtId="3" fontId="3" fillId="31" borderId="0" xfId="0" applyNumberFormat="1" applyFont="1" applyFill="1" applyAlignment="1">
      <alignment horizontal="center"/>
    </xf>
    <xf numFmtId="166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43.421875" style="1" customWidth="1"/>
    <col min="2" max="6" width="13.28125" style="3" customWidth="1"/>
    <col min="7" max="16" width="19.140625" style="1" customWidth="1"/>
    <col min="17" max="16384" width="9.00390625" style="1" customWidth="1"/>
  </cols>
  <sheetData>
    <row r="1" spans="1:6" s="2" customFormat="1" ht="15">
      <c r="A1" s="19" t="s">
        <v>14</v>
      </c>
      <c r="B1" s="20" t="s">
        <v>11</v>
      </c>
      <c r="C1" s="20" t="s">
        <v>11</v>
      </c>
      <c r="D1" s="20" t="s">
        <v>11</v>
      </c>
      <c r="E1" s="20" t="s">
        <v>11</v>
      </c>
      <c r="F1" s="20" t="s">
        <v>23</v>
      </c>
    </row>
    <row r="2" spans="1:6" s="2" customFormat="1" ht="15">
      <c r="A2" s="13"/>
      <c r="B2" s="20" t="s">
        <v>8</v>
      </c>
      <c r="C2" s="20" t="s">
        <v>9</v>
      </c>
      <c r="D2" s="20" t="s">
        <v>10</v>
      </c>
      <c r="E2" s="20" t="s">
        <v>24</v>
      </c>
      <c r="F2" s="20" t="s">
        <v>26</v>
      </c>
    </row>
    <row r="3" ht="15">
      <c r="A3" s="7" t="s">
        <v>3</v>
      </c>
    </row>
    <row r="4" spans="1:6" s="2" customFormat="1" ht="15">
      <c r="A4" s="7" t="s">
        <v>2</v>
      </c>
      <c r="B4" s="4">
        <f>SUM(B5:B7)</f>
        <v>8663</v>
      </c>
      <c r="C4" s="4">
        <f>SUM(C5:C7)</f>
        <v>10100</v>
      </c>
      <c r="D4" s="4">
        <f>SUM(D5:D7)</f>
        <v>54713</v>
      </c>
      <c r="E4" s="4">
        <f>SUM(E5:E7)</f>
        <v>5342</v>
      </c>
      <c r="F4" s="4">
        <f>SUM(F5:F7)</f>
        <v>-49371</v>
      </c>
    </row>
    <row r="5" spans="1:6" ht="15">
      <c r="A5" s="8" t="s">
        <v>4</v>
      </c>
      <c r="B5" s="3">
        <v>6008</v>
      </c>
      <c r="C5" s="3">
        <v>2301</v>
      </c>
      <c r="D5" s="17">
        <v>756</v>
      </c>
      <c r="E5" s="3">
        <v>840</v>
      </c>
      <c r="F5" s="3">
        <f>E5-D5</f>
        <v>84</v>
      </c>
    </row>
    <row r="6" spans="1:6" ht="15">
      <c r="A6" s="8" t="s">
        <v>5</v>
      </c>
      <c r="B6" s="3">
        <v>700</v>
      </c>
      <c r="C6" s="3">
        <v>5414</v>
      </c>
      <c r="D6" s="18">
        <v>2577</v>
      </c>
      <c r="E6" s="3">
        <v>2753</v>
      </c>
      <c r="F6" s="3">
        <f>E6-D6</f>
        <v>176</v>
      </c>
    </row>
    <row r="7" spans="1:7" ht="15">
      <c r="A7" s="8" t="s">
        <v>6</v>
      </c>
      <c r="B7" s="3">
        <v>1955</v>
      </c>
      <c r="C7" s="3">
        <v>2385</v>
      </c>
      <c r="D7" s="21">
        <f>51380</f>
        <v>51380</v>
      </c>
      <c r="E7" s="3">
        <v>1749</v>
      </c>
      <c r="F7" s="3">
        <f>E7-D7</f>
        <v>-49631</v>
      </c>
      <c r="G7" s="1" t="s">
        <v>22</v>
      </c>
    </row>
    <row r="8" ht="15">
      <c r="A8" s="8"/>
    </row>
    <row r="9" spans="1:10" s="2" customFormat="1" ht="15">
      <c r="A9" s="7" t="s">
        <v>0</v>
      </c>
      <c r="B9" s="4">
        <f>SUM(B10:B12)</f>
        <v>158609</v>
      </c>
      <c r="C9" s="4">
        <f>SUM(C10:C12)</f>
        <v>127241</v>
      </c>
      <c r="D9" s="4">
        <f>SUM(D10:D12)</f>
        <v>141923</v>
      </c>
      <c r="E9" s="4">
        <f>SUM(E10:E12)</f>
        <v>129347</v>
      </c>
      <c r="F9" s="4">
        <f>SUM(F10:F12)</f>
        <v>-12576</v>
      </c>
      <c r="G9" s="4"/>
      <c r="J9" s="6"/>
    </row>
    <row r="10" spans="1:9" ht="15">
      <c r="A10" s="8" t="s">
        <v>4</v>
      </c>
      <c r="B10" s="3">
        <f>54305-6008-8640-11954-470</f>
        <v>27233</v>
      </c>
      <c r="C10" s="3">
        <f>50525-2301-8640-17089-255</f>
        <v>22240</v>
      </c>
      <c r="D10" s="17">
        <f>44204-8640-17014-1006-756</f>
        <v>16788</v>
      </c>
      <c r="E10" s="3">
        <f>38327-840-720-15147</f>
        <v>21620</v>
      </c>
      <c r="F10" s="3">
        <f>E10-D10</f>
        <v>4832</v>
      </c>
      <c r="I10" s="2"/>
    </row>
    <row r="11" spans="1:9" ht="15">
      <c r="A11" s="8" t="s">
        <v>5</v>
      </c>
      <c r="B11" s="3">
        <f>86968-1008-700-379</f>
        <v>84881</v>
      </c>
      <c r="C11" s="3">
        <f>74639-2744-5414-72</f>
        <v>66409</v>
      </c>
      <c r="D11" s="17">
        <f>81632-1703-2577-1040</f>
        <v>76312</v>
      </c>
      <c r="E11" s="3">
        <f>68303-2753-573</f>
        <v>64977</v>
      </c>
      <c r="F11" s="3">
        <f>E11-D11</f>
        <v>-11335</v>
      </c>
      <c r="G11" s="1" t="s">
        <v>27</v>
      </c>
      <c r="I11" s="2"/>
    </row>
    <row r="12" spans="1:7" ht="15">
      <c r="A12" s="8" t="s">
        <v>6</v>
      </c>
      <c r="B12" s="3">
        <f>49275-1995-255-530</f>
        <v>46495</v>
      </c>
      <c r="C12" s="3">
        <f>42088-2385-331-780</f>
        <v>38592</v>
      </c>
      <c r="D12" s="17">
        <v>48823</v>
      </c>
      <c r="E12" s="3">
        <f>45374-1749-80-795</f>
        <v>42750</v>
      </c>
      <c r="F12" s="3">
        <f>E12-D12</f>
        <v>-6073</v>
      </c>
      <c r="G12" s="1" t="s">
        <v>12</v>
      </c>
    </row>
    <row r="13" ht="15">
      <c r="A13" s="8"/>
    </row>
    <row r="14" spans="1:6" s="2" customFormat="1" ht="15">
      <c r="A14" s="7" t="s">
        <v>7</v>
      </c>
      <c r="B14" s="4">
        <v>865</v>
      </c>
      <c r="C14" s="4">
        <v>658</v>
      </c>
      <c r="D14" s="4">
        <f>1006+1040+15</f>
        <v>2061</v>
      </c>
      <c r="E14" s="3">
        <f>573+80</f>
        <v>653</v>
      </c>
      <c r="F14" s="3">
        <f>E14-D14</f>
        <v>-1408</v>
      </c>
    </row>
    <row r="15" ht="15">
      <c r="A15" s="8"/>
    </row>
    <row r="16" spans="1:6" ht="15">
      <c r="A16" s="7" t="s">
        <v>13</v>
      </c>
      <c r="B16" s="12">
        <f>B4+B9+B14</f>
        <v>168137</v>
      </c>
      <c r="C16" s="12">
        <f>C4+C9+C14</f>
        <v>137999</v>
      </c>
      <c r="D16" s="12">
        <f>D4+D9+D14</f>
        <v>198697</v>
      </c>
      <c r="E16" s="12">
        <f>E4+E9+E14</f>
        <v>135342</v>
      </c>
      <c r="F16" s="12">
        <f>F4+F9+F14</f>
        <v>-63355</v>
      </c>
    </row>
    <row r="18" spans="1:6" s="2" customFormat="1" ht="15">
      <c r="A18" s="9" t="s">
        <v>20</v>
      </c>
      <c r="B18" s="11">
        <f>SUM(B19:B23)</f>
        <v>26582</v>
      </c>
      <c r="C18" s="11">
        <f>SUM(C19:C23)</f>
        <v>31930</v>
      </c>
      <c r="D18" s="11">
        <f>SUM(D19:D23)</f>
        <v>30609</v>
      </c>
      <c r="E18" s="11">
        <f>SUM(E19:E23)</f>
        <v>18596</v>
      </c>
      <c r="F18" s="11">
        <f>SUM(F19:F23)</f>
        <v>-12013</v>
      </c>
    </row>
    <row r="19" spans="1:7" ht="15">
      <c r="A19" s="10" t="s">
        <v>17</v>
      </c>
      <c r="B19" s="3">
        <v>11954</v>
      </c>
      <c r="C19" s="3">
        <f>25729-8640</f>
        <v>17089</v>
      </c>
      <c r="D19" s="17">
        <v>17014</v>
      </c>
      <c r="E19" s="3">
        <v>15147</v>
      </c>
      <c r="F19" s="3">
        <f>E19-D19</f>
        <v>-1867</v>
      </c>
      <c r="G19" s="5"/>
    </row>
    <row r="20" spans="1:6" ht="15">
      <c r="A20" s="10" t="s">
        <v>16</v>
      </c>
      <c r="B20" s="3">
        <v>1008</v>
      </c>
      <c r="C20" s="3">
        <v>2744</v>
      </c>
      <c r="D20" s="17">
        <v>1703</v>
      </c>
      <c r="E20" s="3">
        <v>0</v>
      </c>
      <c r="F20" s="3">
        <f>E20-D20</f>
        <v>-1703</v>
      </c>
    </row>
    <row r="21" spans="1:7" ht="15">
      <c r="A21" s="10" t="s">
        <v>18</v>
      </c>
      <c r="B21" s="3">
        <v>8640</v>
      </c>
      <c r="C21" s="3">
        <v>8640</v>
      </c>
      <c r="D21" s="17">
        <v>8640</v>
      </c>
      <c r="E21" s="3">
        <v>720</v>
      </c>
      <c r="F21" s="3">
        <f>E21-D21</f>
        <v>-7920</v>
      </c>
      <c r="G21" s="1" t="s">
        <v>25</v>
      </c>
    </row>
    <row r="22" spans="1:6" ht="15">
      <c r="A22" s="10" t="s">
        <v>15</v>
      </c>
      <c r="B22" s="3">
        <v>530</v>
      </c>
      <c r="C22" s="3">
        <v>780</v>
      </c>
      <c r="D22" s="17">
        <v>860</v>
      </c>
      <c r="E22" s="3">
        <v>795</v>
      </c>
      <c r="F22" s="3">
        <f>E22-D22</f>
        <v>-65</v>
      </c>
    </row>
    <row r="23" spans="1:6" ht="15">
      <c r="A23" s="10" t="s">
        <v>1</v>
      </c>
      <c r="B23" s="3">
        <v>4450</v>
      </c>
      <c r="C23" s="3">
        <v>2677</v>
      </c>
      <c r="D23" s="17">
        <v>2392</v>
      </c>
      <c r="E23" s="3">
        <v>1934</v>
      </c>
      <c r="F23" s="3">
        <f>E23-D23</f>
        <v>-458</v>
      </c>
    </row>
    <row r="25" spans="1:9" s="2" customFormat="1" ht="15">
      <c r="A25" s="13" t="s">
        <v>29</v>
      </c>
      <c r="B25" s="14">
        <f>B16+B18</f>
        <v>194719</v>
      </c>
      <c r="C25" s="14">
        <f>C16+C18</f>
        <v>169929</v>
      </c>
      <c r="D25" s="14">
        <f>D16+D18</f>
        <v>229306</v>
      </c>
      <c r="E25" s="14">
        <f>E16+E18</f>
        <v>153938</v>
      </c>
      <c r="F25" s="14">
        <f>F16+F18</f>
        <v>-75368</v>
      </c>
      <c r="G25" s="4"/>
      <c r="H25" s="4"/>
      <c r="I25" s="4"/>
    </row>
    <row r="27" spans="1:6" ht="15">
      <c r="A27" s="15" t="s">
        <v>19</v>
      </c>
      <c r="B27" s="1"/>
      <c r="C27" s="1"/>
      <c r="D27" s="1"/>
      <c r="E27" s="1"/>
      <c r="F27" s="1"/>
    </row>
    <row r="28" spans="1:6" s="2" customFormat="1" ht="15">
      <c r="A28" s="9" t="s">
        <v>20</v>
      </c>
      <c r="B28" s="11">
        <f>SUM(B29:B30)</f>
        <v>12962</v>
      </c>
      <c r="C28" s="11">
        <f>SUM(C29:C30)</f>
        <v>19833</v>
      </c>
      <c r="D28" s="11">
        <f>SUM(D29:D30)</f>
        <v>18717</v>
      </c>
      <c r="E28" s="11">
        <f>SUM(E29:E30)</f>
        <v>15147</v>
      </c>
      <c r="F28" s="11">
        <f>SUM(F29:F30)</f>
        <v>-3570</v>
      </c>
    </row>
    <row r="29" spans="1:6" ht="15">
      <c r="A29" s="10" t="str">
        <f aca="true" t="shared" si="0" ref="A29:D30">A19</f>
        <v>Alpine - Non-member Income</v>
      </c>
      <c r="B29" s="3">
        <f t="shared" si="0"/>
        <v>11954</v>
      </c>
      <c r="C29" s="3">
        <f t="shared" si="0"/>
        <v>17089</v>
      </c>
      <c r="D29" s="3">
        <f t="shared" si="0"/>
        <v>17014</v>
      </c>
      <c r="E29" s="3">
        <f>E19</f>
        <v>15147</v>
      </c>
      <c r="F29" s="3">
        <f>E29-D29</f>
        <v>-1867</v>
      </c>
    </row>
    <row r="30" spans="1:6" ht="15">
      <c r="A30" s="10" t="str">
        <f t="shared" si="0"/>
        <v>Echo - Non-member Income</v>
      </c>
      <c r="B30" s="3">
        <f t="shared" si="0"/>
        <v>1008</v>
      </c>
      <c r="C30" s="3">
        <f t="shared" si="0"/>
        <v>2744</v>
      </c>
      <c r="D30" s="3">
        <f t="shared" si="0"/>
        <v>1703</v>
      </c>
      <c r="E30" s="3">
        <f>E20</f>
        <v>0</v>
      </c>
      <c r="F30" s="3">
        <f>E30-D30</f>
        <v>-1703</v>
      </c>
    </row>
    <row r="31" spans="1:6" s="2" customFormat="1" ht="15">
      <c r="A31" s="13" t="str">
        <f aca="true" t="shared" si="1" ref="A31:F31">A25</f>
        <v>Total California Alpine Club Revenue</v>
      </c>
      <c r="B31" s="14">
        <f t="shared" si="1"/>
        <v>194719</v>
      </c>
      <c r="C31" s="14">
        <f t="shared" si="1"/>
        <v>169929</v>
      </c>
      <c r="D31" s="14">
        <f t="shared" si="1"/>
        <v>229306</v>
      </c>
      <c r="E31" s="14">
        <f t="shared" si="1"/>
        <v>153938</v>
      </c>
      <c r="F31" s="14">
        <f t="shared" si="1"/>
        <v>-75368</v>
      </c>
    </row>
    <row r="32" spans="1:6" ht="15">
      <c r="A32" s="15" t="s">
        <v>19</v>
      </c>
      <c r="B32" s="16">
        <f>B28/B25</f>
        <v>0.06656772066413652</v>
      </c>
      <c r="C32" s="16">
        <f>C28/C25</f>
        <v>0.11671345091185142</v>
      </c>
      <c r="D32" s="16">
        <f>D28/D25</f>
        <v>0.08162455408929553</v>
      </c>
      <c r="E32" s="16">
        <f>E28/E25</f>
        <v>0.09839675713598982</v>
      </c>
      <c r="F32" s="16">
        <f>E32-D32</f>
        <v>0.016772203046694287</v>
      </c>
    </row>
    <row r="33" spans="2:6" ht="15">
      <c r="B33" s="1"/>
      <c r="C33" s="1"/>
      <c r="D33" s="1"/>
      <c r="E33" s="1"/>
      <c r="F33" s="1"/>
    </row>
    <row r="34" spans="1:6" ht="15">
      <c r="A34" s="15" t="s">
        <v>21</v>
      </c>
      <c r="B34" s="1"/>
      <c r="C34" s="1"/>
      <c r="D34" s="1"/>
      <c r="E34" s="1"/>
      <c r="F34" s="1"/>
    </row>
    <row r="35" spans="1:6" s="2" customFormat="1" ht="15">
      <c r="A35" s="9" t="str">
        <f aca="true" t="shared" si="2" ref="A35:E38">A18</f>
        <v>UBI Revenue</v>
      </c>
      <c r="B35" s="11">
        <f t="shared" si="2"/>
        <v>26582</v>
      </c>
      <c r="C35" s="11">
        <f t="shared" si="2"/>
        <v>31930</v>
      </c>
      <c r="D35" s="11">
        <f t="shared" si="2"/>
        <v>30609</v>
      </c>
      <c r="E35" s="11">
        <f t="shared" si="2"/>
        <v>18596</v>
      </c>
      <c r="F35" s="11">
        <f>F18</f>
        <v>-12013</v>
      </c>
    </row>
    <row r="36" spans="1:6" ht="15">
      <c r="A36" s="10" t="str">
        <f t="shared" si="2"/>
        <v>Alpine - Non-member Income</v>
      </c>
      <c r="B36" s="3">
        <f t="shared" si="2"/>
        <v>11954</v>
      </c>
      <c r="C36" s="3">
        <f t="shared" si="2"/>
        <v>17089</v>
      </c>
      <c r="D36" s="3">
        <f t="shared" si="2"/>
        <v>17014</v>
      </c>
      <c r="E36" s="3">
        <f>E19</f>
        <v>15147</v>
      </c>
      <c r="F36" s="3">
        <f>E36-D36</f>
        <v>-1867</v>
      </c>
    </row>
    <row r="37" spans="1:6" ht="15">
      <c r="A37" s="10" t="str">
        <f t="shared" si="2"/>
        <v>Echo - Non-member Income</v>
      </c>
      <c r="B37" s="3">
        <f t="shared" si="2"/>
        <v>1008</v>
      </c>
      <c r="C37" s="3">
        <f t="shared" si="2"/>
        <v>2744</v>
      </c>
      <c r="D37" s="3">
        <f t="shared" si="2"/>
        <v>1703</v>
      </c>
      <c r="E37" s="3">
        <f>E20</f>
        <v>0</v>
      </c>
      <c r="F37" s="3">
        <f>E37-D37</f>
        <v>-1703</v>
      </c>
    </row>
    <row r="38" spans="1:6" ht="15">
      <c r="A38" s="10" t="str">
        <f t="shared" si="2"/>
        <v>Alpine - Apartment Rental</v>
      </c>
      <c r="B38" s="3">
        <f t="shared" si="2"/>
        <v>8640</v>
      </c>
      <c r="C38" s="3">
        <f t="shared" si="2"/>
        <v>8640</v>
      </c>
      <c r="D38" s="3">
        <f t="shared" si="2"/>
        <v>8640</v>
      </c>
      <c r="E38" s="3">
        <f>E21</f>
        <v>720</v>
      </c>
      <c r="F38" s="3">
        <f>E38-D38</f>
        <v>-7920</v>
      </c>
    </row>
    <row r="39" spans="1:6" ht="15">
      <c r="A39" s="10" t="str">
        <f aca="true" t="shared" si="3" ref="A39:D40">A22</f>
        <v>CAC - Membership Fees</v>
      </c>
      <c r="B39" s="3">
        <f t="shared" si="3"/>
        <v>530</v>
      </c>
      <c r="C39" s="3">
        <f t="shared" si="3"/>
        <v>780</v>
      </c>
      <c r="D39" s="3">
        <f t="shared" si="3"/>
        <v>860</v>
      </c>
      <c r="E39" s="3">
        <f>E22</f>
        <v>795</v>
      </c>
      <c r="F39" s="3">
        <f>E39-D39</f>
        <v>-65</v>
      </c>
    </row>
    <row r="40" spans="1:6" ht="15">
      <c r="A40" s="10" t="str">
        <f t="shared" si="3"/>
        <v>Investment Income</v>
      </c>
      <c r="B40" s="3">
        <f t="shared" si="3"/>
        <v>4450</v>
      </c>
      <c r="C40" s="3">
        <f t="shared" si="3"/>
        <v>2677</v>
      </c>
      <c r="D40" s="3">
        <f t="shared" si="3"/>
        <v>2392</v>
      </c>
      <c r="E40" s="3">
        <f>E23</f>
        <v>1934</v>
      </c>
      <c r="F40" s="3">
        <f>E40-D40</f>
        <v>-458</v>
      </c>
    </row>
    <row r="41" spans="1:11" s="2" customFormat="1" ht="15">
      <c r="A41" s="13" t="str">
        <f aca="true" t="shared" si="4" ref="A41:F41">A25</f>
        <v>Total California Alpine Club Revenue</v>
      </c>
      <c r="B41" s="14">
        <f t="shared" si="4"/>
        <v>194719</v>
      </c>
      <c r="C41" s="14">
        <f t="shared" si="4"/>
        <v>169929</v>
      </c>
      <c r="D41" s="14">
        <f t="shared" si="4"/>
        <v>229306</v>
      </c>
      <c r="E41" s="14">
        <f t="shared" si="4"/>
        <v>153938</v>
      </c>
      <c r="F41" s="14">
        <f t="shared" si="4"/>
        <v>-75368</v>
      </c>
      <c r="G41" s="1"/>
      <c r="H41" s="1"/>
      <c r="I41" s="1"/>
      <c r="J41" s="1"/>
      <c r="K41" s="1"/>
    </row>
    <row r="42" spans="1:6" ht="15">
      <c r="A42" s="15" t="s">
        <v>21</v>
      </c>
      <c r="B42" s="16">
        <f>B35/B41</f>
        <v>0.13651466985758964</v>
      </c>
      <c r="C42" s="16">
        <f>C35/C41</f>
        <v>0.18790200613197278</v>
      </c>
      <c r="D42" s="16">
        <f>D35/D41</f>
        <v>0.13348538633965096</v>
      </c>
      <c r="E42" s="16">
        <f>E35/E41</f>
        <v>0.1208018812768777</v>
      </c>
      <c r="F42" s="16">
        <f>E42-D42</f>
        <v>-0.012683505062773257</v>
      </c>
    </row>
    <row r="43" spans="2:6" ht="15">
      <c r="B43" s="1"/>
      <c r="C43" s="1"/>
      <c r="D43" s="1"/>
      <c r="E43" s="1"/>
      <c r="F43" s="1"/>
    </row>
    <row r="44" ht="15">
      <c r="A44" s="2" t="s">
        <v>28</v>
      </c>
    </row>
    <row r="45" spans="2:6" ht="15">
      <c r="B45" s="1"/>
      <c r="C45" s="1"/>
      <c r="D45" s="1"/>
      <c r="E45" s="1"/>
      <c r="F45" s="1"/>
    </row>
  </sheetData>
  <sheetProtection/>
  <printOptions/>
  <pageMargins left="0.75" right="0.75" top="1" bottom="1" header="0.5" footer="0.5"/>
  <pageSetup fitToHeight="1" fitToWidth="1"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whmayers</dc:creator>
  <cp:keywords/>
  <dc:description/>
  <cp:lastModifiedBy>Carroll Pearson</cp:lastModifiedBy>
  <cp:lastPrinted>2012-11-12T01:21:18Z</cp:lastPrinted>
  <dcterms:created xsi:type="dcterms:W3CDTF">2012-09-15T21:51:45Z</dcterms:created>
  <dcterms:modified xsi:type="dcterms:W3CDTF">2014-09-29T03:23:42Z</dcterms:modified>
  <cp:category/>
  <cp:version/>
  <cp:contentType/>
  <cp:contentStatus/>
</cp:coreProperties>
</file>