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729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gy Eller\Documents\Alpine Club\Board docs\2016\April\"/>
    </mc:Choice>
  </mc:AlternateContent>
  <bookViews>
    <workbookView xWindow="0" yWindow="0" windowWidth="21600" windowHeight="11200" tabRatio="861"/>
  </bookViews>
  <sheets>
    <sheet name="Consol Inc Stmt" sheetId="1" r:id="rId1"/>
    <sheet name="Consol Bal Sheet" sheetId="2" r:id="rId2"/>
    <sheet name="Consol CF Smt" sheetId="3" r:id="rId3"/>
    <sheet name="CAC Inc Stmt" sheetId="7" r:id="rId4"/>
    <sheet name="CAC Bal Sheet" sheetId="10" r:id="rId5"/>
    <sheet name="CAC CF Smt" sheetId="13" r:id="rId6"/>
    <sheet name="AL Inc Stmt" sheetId="8" r:id="rId7"/>
    <sheet name="AL Bal Sheet" sheetId="11" r:id="rId8"/>
    <sheet name="AL CF Smt" sheetId="14" r:id="rId9"/>
    <sheet name="ESL Inc Stmt" sheetId="9" r:id="rId10"/>
    <sheet name="ESL Bal Sheet" sheetId="12" r:id="rId11"/>
    <sheet name="ESL CF Smt" sheetId="15" r:id="rId12"/>
  </sheets>
  <definedNames>
    <definedName name="_xlnm.Print_Titles" localSheetId="7">'AL Bal Sheet'!$1:$7</definedName>
    <definedName name="_xlnm.Print_Titles" localSheetId="8">'AL CF Smt'!$1:$5</definedName>
    <definedName name="_xlnm.Print_Titles" localSheetId="6">'AL Inc Stmt'!$1:$6</definedName>
    <definedName name="_xlnm.Print_Titles" localSheetId="4">'CAC Bal Sheet'!$1:$7</definedName>
    <definedName name="_xlnm.Print_Titles" localSheetId="5">'CAC CF Smt'!$1:$5</definedName>
    <definedName name="_xlnm.Print_Titles" localSheetId="3">'CAC Inc Stmt'!$1:$6</definedName>
    <definedName name="_xlnm.Print_Titles" localSheetId="1">'Consol Bal Sheet'!$1:$7</definedName>
    <definedName name="_xlnm.Print_Titles" localSheetId="2">'Consol CF Smt'!$1:$5</definedName>
    <definedName name="_xlnm.Print_Titles" localSheetId="0">'Consol Inc Stmt'!$1:$6</definedName>
    <definedName name="_xlnm.Print_Titles" localSheetId="10">'ESL Bal Sheet'!$1:$7</definedName>
    <definedName name="_xlnm.Print_Titles" localSheetId="11">'ESL CF Smt'!$1:$5</definedName>
    <definedName name="_xlnm.Print_Titles" localSheetId="9">'ESL Inc Stmt'!$1:$6</definedName>
  </definedNames>
  <calcPr calcId="171027" concurrentCalc="0"/>
</workbook>
</file>

<file path=xl/calcChain.xml><?xml version="1.0" encoding="utf-8"?>
<calcChain xmlns="http://schemas.openxmlformats.org/spreadsheetml/2006/main">
  <c r="K60" i="10" l="1"/>
  <c r="K59" i="10"/>
  <c r="K84" i="12"/>
  <c r="K43" i="12"/>
  <c r="K37" i="12"/>
  <c r="K15" i="12"/>
  <c r="K22" i="12"/>
  <c r="K29" i="12"/>
  <c r="K31" i="12"/>
  <c r="K45" i="12"/>
  <c r="K55" i="12"/>
  <c r="K58" i="12"/>
  <c r="K60" i="12"/>
  <c r="K62" i="12"/>
  <c r="K64" i="12"/>
  <c r="K66" i="12"/>
  <c r="K162" i="9"/>
  <c r="K165" i="9"/>
  <c r="K167" i="9"/>
  <c r="K158" i="9"/>
  <c r="K149" i="9"/>
  <c r="K140" i="9"/>
  <c r="K132" i="9"/>
  <c r="K109" i="9"/>
  <c r="K8" i="9"/>
  <c r="K21" i="9"/>
  <c r="K20" i="9"/>
  <c r="K34" i="9"/>
  <c r="K45" i="9"/>
  <c r="K52" i="9"/>
  <c r="K53" i="9"/>
  <c r="K54" i="9"/>
  <c r="K58" i="9"/>
  <c r="K68" i="9"/>
  <c r="K76" i="9"/>
  <c r="K78" i="9"/>
  <c r="K80" i="9"/>
  <c r="K88" i="9"/>
  <c r="K91" i="9"/>
  <c r="K94" i="9"/>
  <c r="K96" i="9"/>
  <c r="K84" i="11"/>
  <c r="K43" i="11"/>
  <c r="K37" i="11"/>
  <c r="K15" i="11"/>
  <c r="K22" i="11"/>
  <c r="K29" i="11"/>
  <c r="K31" i="11"/>
  <c r="K45" i="11"/>
  <c r="K55" i="11"/>
  <c r="K62" i="11"/>
  <c r="K64" i="11"/>
  <c r="K66" i="11"/>
  <c r="K162" i="8"/>
  <c r="K167" i="8"/>
  <c r="K154" i="8"/>
  <c r="K156" i="8"/>
  <c r="K158" i="8"/>
  <c r="K149" i="8"/>
  <c r="K140" i="8"/>
  <c r="K132" i="8"/>
  <c r="K109" i="8"/>
  <c r="K13" i="8"/>
  <c r="K14" i="8"/>
  <c r="K8" i="8"/>
  <c r="K20" i="8"/>
  <c r="K34" i="8"/>
  <c r="K45" i="8"/>
  <c r="K48" i="8"/>
  <c r="K52" i="8"/>
  <c r="K53" i="8"/>
  <c r="K54" i="8"/>
  <c r="K68" i="8"/>
  <c r="K76" i="8"/>
  <c r="K78" i="8"/>
  <c r="K80" i="8"/>
  <c r="K88" i="8"/>
  <c r="K92" i="8"/>
  <c r="K94" i="8"/>
  <c r="K96" i="8"/>
  <c r="K48" i="7"/>
  <c r="K40" i="7"/>
  <c r="K50" i="7"/>
  <c r="K63" i="7"/>
  <c r="K143" i="7"/>
  <c r="H55" i="10"/>
  <c r="G55" i="10"/>
  <c r="H13" i="13"/>
  <c r="I55" i="10"/>
  <c r="I13" i="13"/>
  <c r="J55" i="10"/>
  <c r="J13" i="13"/>
  <c r="K55" i="10"/>
  <c r="K13" i="13"/>
  <c r="L13" i="13"/>
  <c r="H43" i="11"/>
  <c r="G43" i="11"/>
  <c r="H16" i="14"/>
  <c r="I16" i="14"/>
  <c r="J43" i="11"/>
  <c r="I43" i="11"/>
  <c r="J16" i="14"/>
  <c r="K16" i="14"/>
  <c r="L16" i="14"/>
  <c r="H55" i="11"/>
  <c r="H13" i="14"/>
  <c r="I55" i="11"/>
  <c r="I13" i="14"/>
  <c r="J55" i="11"/>
  <c r="J13" i="14"/>
  <c r="K13" i="14"/>
  <c r="L13" i="14"/>
  <c r="I16" i="15"/>
  <c r="J16" i="15"/>
  <c r="K16" i="15"/>
  <c r="L16" i="15"/>
  <c r="H13" i="15"/>
  <c r="I13" i="15"/>
  <c r="J13" i="15"/>
  <c r="K13" i="15"/>
  <c r="L13" i="15"/>
  <c r="Q8" i="7"/>
  <c r="Q20" i="7"/>
  <c r="Q34" i="7"/>
  <c r="Q45" i="7"/>
  <c r="Q158" i="7"/>
  <c r="Q53" i="7"/>
  <c r="Q140" i="7"/>
  <c r="Q54" i="7"/>
  <c r="Q167" i="7"/>
  <c r="Q68" i="7"/>
  <c r="Q76" i="7"/>
  <c r="Q78" i="7"/>
  <c r="Q80" i="7"/>
  <c r="Q88" i="7"/>
  <c r="L15" i="10"/>
  <c r="H43" i="10"/>
  <c r="K43" i="10"/>
  <c r="J43" i="10"/>
  <c r="L99" i="7"/>
  <c r="L101" i="7"/>
  <c r="M99" i="7"/>
  <c r="M101" i="7"/>
  <c r="N99" i="7"/>
  <c r="N101" i="7"/>
  <c r="O99" i="7"/>
  <c r="O101" i="7"/>
  <c r="L100" i="7"/>
  <c r="M100" i="7"/>
  <c r="N100" i="7"/>
  <c r="O100" i="7"/>
  <c r="K15" i="10"/>
  <c r="J15" i="10"/>
  <c r="I15" i="10"/>
  <c r="H15" i="10"/>
  <c r="G15" i="10"/>
  <c r="J62" i="11"/>
  <c r="J64" i="11"/>
  <c r="J37" i="11"/>
  <c r="J15" i="11"/>
  <c r="J22" i="11"/>
  <c r="J29" i="11"/>
  <c r="J31" i="11"/>
  <c r="J162" i="8"/>
  <c r="J167" i="8"/>
  <c r="J68" i="8"/>
  <c r="J153" i="8"/>
  <c r="J156" i="8"/>
  <c r="J158" i="8"/>
  <c r="J149" i="8"/>
  <c r="J52" i="8"/>
  <c r="J53" i="8"/>
  <c r="J140" i="8"/>
  <c r="J54" i="8"/>
  <c r="J76" i="8"/>
  <c r="J132" i="8"/>
  <c r="J109" i="8"/>
  <c r="J10" i="8"/>
  <c r="J13" i="8"/>
  <c r="J14" i="8"/>
  <c r="J8" i="8"/>
  <c r="J20" i="8"/>
  <c r="J34" i="8"/>
  <c r="J45" i="8"/>
  <c r="J78" i="8"/>
  <c r="J80" i="8"/>
  <c r="J88" i="8"/>
  <c r="J92" i="8"/>
  <c r="J94" i="8"/>
  <c r="J96" i="8"/>
  <c r="J60" i="10"/>
  <c r="J59" i="10"/>
  <c r="N57" i="8"/>
  <c r="N165" i="8"/>
  <c r="J72" i="9"/>
  <c r="J84" i="12"/>
  <c r="J43" i="12"/>
  <c r="J37" i="12"/>
  <c r="J15" i="12"/>
  <c r="J22" i="12"/>
  <c r="J29" i="12"/>
  <c r="J31" i="12"/>
  <c r="J49" i="12"/>
  <c r="J55" i="12"/>
  <c r="J58" i="12"/>
  <c r="J162" i="9"/>
  <c r="J167" i="9"/>
  <c r="J158" i="9"/>
  <c r="J53" i="9"/>
  <c r="J149" i="9"/>
  <c r="J52" i="9"/>
  <c r="J140" i="9"/>
  <c r="J132" i="9"/>
  <c r="J109" i="9"/>
  <c r="J8" i="9"/>
  <c r="J21" i="9"/>
  <c r="J20" i="9"/>
  <c r="J34" i="9"/>
  <c r="J45" i="9"/>
  <c r="J54" i="9"/>
  <c r="J58" i="9"/>
  <c r="J68" i="9"/>
  <c r="J80" i="9"/>
  <c r="J91" i="9"/>
  <c r="J94" i="9"/>
  <c r="J40" i="7"/>
  <c r="I63" i="7"/>
  <c r="I64" i="7"/>
  <c r="J143" i="7"/>
  <c r="J50" i="7"/>
  <c r="I127" i="8"/>
  <c r="I132" i="8"/>
  <c r="I92" i="8"/>
  <c r="H132" i="9"/>
  <c r="H91" i="9"/>
  <c r="H94" i="9"/>
  <c r="I37" i="11"/>
  <c r="I15" i="11"/>
  <c r="I22" i="11"/>
  <c r="I24" i="11"/>
  <c r="I29" i="11"/>
  <c r="I31" i="11"/>
  <c r="I45" i="11"/>
  <c r="I60" i="11"/>
  <c r="I62" i="11"/>
  <c r="I64" i="11"/>
  <c r="I66" i="11"/>
  <c r="I167" i="8"/>
  <c r="I158" i="8"/>
  <c r="I149" i="8"/>
  <c r="I140" i="8"/>
  <c r="I54" i="8"/>
  <c r="I51" i="8"/>
  <c r="I52" i="8"/>
  <c r="I53" i="8"/>
  <c r="I68" i="8"/>
  <c r="I76" i="8"/>
  <c r="I109" i="8"/>
  <c r="I13" i="8"/>
  <c r="I14" i="8"/>
  <c r="I8" i="8"/>
  <c r="I20" i="8"/>
  <c r="I34" i="8"/>
  <c r="I45" i="8"/>
  <c r="I78" i="8"/>
  <c r="I80" i="8"/>
  <c r="I88" i="8"/>
  <c r="I94" i="8"/>
  <c r="I96" i="8"/>
  <c r="I84" i="12"/>
  <c r="I43" i="12"/>
  <c r="I37" i="12"/>
  <c r="I15" i="12"/>
  <c r="I22" i="12"/>
  <c r="I29" i="12"/>
  <c r="I31" i="12"/>
  <c r="I45" i="12"/>
  <c r="I55" i="12"/>
  <c r="I58" i="12"/>
  <c r="I167" i="9"/>
  <c r="I68" i="9"/>
  <c r="I158" i="9"/>
  <c r="I149" i="9"/>
  <c r="I140" i="9"/>
  <c r="I132" i="9"/>
  <c r="I91" i="9"/>
  <c r="I94" i="9"/>
  <c r="I109" i="9"/>
  <c r="I8" i="9"/>
  <c r="I21" i="9"/>
  <c r="I22" i="9"/>
  <c r="I25" i="9"/>
  <c r="I28" i="9"/>
  <c r="I20" i="9"/>
  <c r="I34" i="9"/>
  <c r="I45" i="9"/>
  <c r="I49" i="9"/>
  <c r="I52" i="9"/>
  <c r="I53" i="9"/>
  <c r="I54" i="9"/>
  <c r="I58" i="9"/>
  <c r="I72" i="9"/>
  <c r="I80" i="9"/>
  <c r="I50" i="7"/>
  <c r="M72" i="7"/>
  <c r="I143" i="7"/>
  <c r="I60" i="10"/>
  <c r="I48" i="7"/>
  <c r="H132" i="8"/>
  <c r="H92" i="8"/>
  <c r="H94" i="8"/>
  <c r="H84" i="11"/>
  <c r="H37" i="11"/>
  <c r="H15" i="11"/>
  <c r="H22" i="11"/>
  <c r="H29" i="11"/>
  <c r="H31" i="11"/>
  <c r="H45" i="11"/>
  <c r="H60" i="11"/>
  <c r="H62" i="11"/>
  <c r="H64" i="11"/>
  <c r="H66" i="11"/>
  <c r="H167" i="8"/>
  <c r="H158" i="8"/>
  <c r="H53" i="8"/>
  <c r="H149" i="8"/>
  <c r="H52" i="8"/>
  <c r="H140" i="8"/>
  <c r="H54" i="8"/>
  <c r="H68" i="8"/>
  <c r="H76" i="8"/>
  <c r="H109" i="8"/>
  <c r="H14" i="8"/>
  <c r="H8" i="8"/>
  <c r="H20" i="8"/>
  <c r="H34" i="8"/>
  <c r="H45" i="8"/>
  <c r="H78" i="8"/>
  <c r="H80" i="8"/>
  <c r="H88" i="8"/>
  <c r="H96" i="8"/>
  <c r="H84" i="12"/>
  <c r="H43" i="12"/>
  <c r="H37" i="12"/>
  <c r="H15" i="12"/>
  <c r="H22" i="12"/>
  <c r="H29" i="12"/>
  <c r="H31" i="12"/>
  <c r="H45" i="12"/>
  <c r="H55" i="12"/>
  <c r="H58" i="12"/>
  <c r="H162" i="9"/>
  <c r="H167" i="9"/>
  <c r="H68" i="9"/>
  <c r="H158" i="9"/>
  <c r="H149" i="9"/>
  <c r="H52" i="9"/>
  <c r="H140" i="9"/>
  <c r="H109" i="9"/>
  <c r="H8" i="9"/>
  <c r="H22" i="9"/>
  <c r="H23" i="9"/>
  <c r="H20" i="9"/>
  <c r="H34" i="9"/>
  <c r="H45" i="9"/>
  <c r="H51" i="9"/>
  <c r="H53" i="9"/>
  <c r="H54" i="9"/>
  <c r="H58" i="9"/>
  <c r="H80" i="9"/>
  <c r="H60" i="10"/>
  <c r="H58" i="10"/>
  <c r="H38" i="7"/>
  <c r="H143" i="7"/>
  <c r="G50" i="2"/>
  <c r="G55" i="11"/>
  <c r="Q14" i="8"/>
  <c r="M21" i="15"/>
  <c r="L84" i="12"/>
  <c r="L43" i="12"/>
  <c r="L37" i="12"/>
  <c r="L15" i="12"/>
  <c r="L17" i="12"/>
  <c r="L22" i="12"/>
  <c r="L29" i="12"/>
  <c r="L31" i="12"/>
  <c r="L55" i="12"/>
  <c r="L58" i="12"/>
  <c r="L62" i="12"/>
  <c r="L64" i="12"/>
  <c r="Q167" i="9"/>
  <c r="Q158" i="9"/>
  <c r="Q53" i="9"/>
  <c r="Q149" i="9"/>
  <c r="Q52" i="9"/>
  <c r="Q140" i="9"/>
  <c r="Q54" i="9"/>
  <c r="Q68" i="9"/>
  <c r="Q76" i="9"/>
  <c r="Q132" i="9"/>
  <c r="Q109" i="9"/>
  <c r="Q8" i="9"/>
  <c r="Q34" i="9"/>
  <c r="Q45" i="9"/>
  <c r="Q80" i="9"/>
  <c r="Q94" i="9"/>
  <c r="L84" i="11"/>
  <c r="L43" i="11"/>
  <c r="L37" i="11"/>
  <c r="L15" i="11"/>
  <c r="L22" i="11"/>
  <c r="L24" i="11"/>
  <c r="L25" i="11"/>
  <c r="L29" i="11"/>
  <c r="L31" i="11"/>
  <c r="L45" i="11"/>
  <c r="L55" i="11"/>
  <c r="L60" i="11"/>
  <c r="L62" i="11"/>
  <c r="L64" i="11"/>
  <c r="L66" i="11"/>
  <c r="Q167" i="8"/>
  <c r="Q158" i="8"/>
  <c r="Q53" i="8"/>
  <c r="Q149" i="8"/>
  <c r="Q140" i="8"/>
  <c r="Q54" i="8"/>
  <c r="Q132" i="8"/>
  <c r="Q109" i="8"/>
  <c r="Q8" i="8"/>
  <c r="Q20" i="8"/>
  <c r="Q34" i="8"/>
  <c r="Q45" i="8"/>
  <c r="Q52" i="8"/>
  <c r="Q76" i="8"/>
  <c r="Q80" i="8"/>
  <c r="Q92" i="8"/>
  <c r="Q94" i="8"/>
  <c r="L43" i="10"/>
  <c r="L37" i="10"/>
  <c r="L10" i="10"/>
  <c r="L22" i="10"/>
  <c r="L29" i="10"/>
  <c r="L31" i="10"/>
  <c r="L45" i="10"/>
  <c r="L55" i="10"/>
  <c r="L60" i="10"/>
  <c r="L62" i="10"/>
  <c r="L64" i="10"/>
  <c r="L66" i="10"/>
  <c r="Q135" i="7"/>
  <c r="Q109" i="7"/>
  <c r="Q132" i="7"/>
  <c r="Q143" i="7"/>
  <c r="Q149" i="7"/>
  <c r="G23" i="15"/>
  <c r="G25" i="15"/>
  <c r="L7" i="15"/>
  <c r="G23" i="13"/>
  <c r="G25" i="13"/>
  <c r="L7" i="13"/>
  <c r="M7" i="13"/>
  <c r="G23" i="14"/>
  <c r="G25" i="14"/>
  <c r="L7" i="14"/>
  <c r="M7" i="14"/>
  <c r="G84" i="12"/>
  <c r="G58" i="12"/>
  <c r="G55" i="12"/>
  <c r="G43" i="12"/>
  <c r="G37" i="12"/>
  <c r="G15" i="12"/>
  <c r="G22" i="12"/>
  <c r="G29" i="12"/>
  <c r="G31" i="12"/>
  <c r="G45" i="12"/>
  <c r="G60" i="12"/>
  <c r="G62" i="11"/>
  <c r="G64" i="11"/>
  <c r="G37" i="11"/>
  <c r="G15" i="11"/>
  <c r="G22" i="11"/>
  <c r="G29" i="11"/>
  <c r="G31" i="11"/>
  <c r="G45" i="11"/>
  <c r="G58" i="10"/>
  <c r="G60" i="10"/>
  <c r="G62" i="10"/>
  <c r="G48" i="10"/>
  <c r="G43" i="10"/>
  <c r="G37" i="10"/>
  <c r="G22" i="10"/>
  <c r="G29" i="10"/>
  <c r="G31" i="10"/>
  <c r="G94" i="9"/>
  <c r="G140" i="9"/>
  <c r="G54" i="9"/>
  <c r="G149" i="9"/>
  <c r="G52" i="9"/>
  <c r="G158" i="9"/>
  <c r="G53" i="9"/>
  <c r="G167" i="9"/>
  <c r="G68" i="9"/>
  <c r="G34" i="7"/>
  <c r="G45" i="7"/>
  <c r="G52" i="7"/>
  <c r="G53" i="7"/>
  <c r="G54" i="7"/>
  <c r="G76" i="7"/>
  <c r="G78" i="7"/>
  <c r="G80" i="7"/>
  <c r="G88" i="7"/>
  <c r="K58" i="10"/>
  <c r="K167" i="7"/>
  <c r="K68" i="7"/>
  <c r="K149" i="7"/>
  <c r="K52" i="7"/>
  <c r="K158" i="7"/>
  <c r="K53" i="7"/>
  <c r="K140" i="7"/>
  <c r="K54" i="7"/>
  <c r="O161" i="7"/>
  <c r="L161" i="7"/>
  <c r="M161" i="7"/>
  <c r="N161" i="7"/>
  <c r="P161" i="7"/>
  <c r="O161" i="8"/>
  <c r="L161" i="8"/>
  <c r="M161" i="8"/>
  <c r="N161" i="8"/>
  <c r="P161" i="8"/>
  <c r="O161" i="9"/>
  <c r="L161" i="9"/>
  <c r="M161" i="9"/>
  <c r="N161" i="9"/>
  <c r="P161" i="9"/>
  <c r="G161" i="1"/>
  <c r="O162" i="7"/>
  <c r="N162" i="7"/>
  <c r="L162" i="7"/>
  <c r="M162" i="7"/>
  <c r="P162" i="7"/>
  <c r="O162" i="8"/>
  <c r="L162" i="8"/>
  <c r="M162" i="8"/>
  <c r="N162" i="8"/>
  <c r="P162" i="8"/>
  <c r="O162" i="9"/>
  <c r="M162" i="9"/>
  <c r="N162" i="9"/>
  <c r="G162" i="1"/>
  <c r="O163" i="7"/>
  <c r="L163" i="7"/>
  <c r="M163" i="7"/>
  <c r="N163" i="7"/>
  <c r="P163" i="7"/>
  <c r="O163" i="8"/>
  <c r="L163" i="8"/>
  <c r="M163" i="8"/>
  <c r="N163" i="8"/>
  <c r="P163" i="8"/>
  <c r="O163" i="9"/>
  <c r="L163" i="9"/>
  <c r="M163" i="9"/>
  <c r="N163" i="9"/>
  <c r="P163" i="9"/>
  <c r="G163" i="1"/>
  <c r="O164" i="7"/>
  <c r="L164" i="7"/>
  <c r="M164" i="7"/>
  <c r="N164" i="7"/>
  <c r="P164" i="7"/>
  <c r="O164" i="8"/>
  <c r="L164" i="8"/>
  <c r="M164" i="8"/>
  <c r="N164" i="8"/>
  <c r="P164" i="8"/>
  <c r="O164" i="9"/>
  <c r="L164" i="9"/>
  <c r="M164" i="9"/>
  <c r="N164" i="9"/>
  <c r="P164" i="9"/>
  <c r="G164" i="1"/>
  <c r="O165" i="8"/>
  <c r="L165" i="8"/>
  <c r="M165" i="8"/>
  <c r="P165" i="8"/>
  <c r="O165" i="9"/>
  <c r="L165" i="9"/>
  <c r="M165" i="9"/>
  <c r="N165" i="9"/>
  <c r="P165" i="9"/>
  <c r="L165" i="7"/>
  <c r="M165" i="7"/>
  <c r="N165" i="7"/>
  <c r="O165" i="7"/>
  <c r="P165" i="7"/>
  <c r="P165" i="1"/>
  <c r="G165" i="1"/>
  <c r="T165" i="1"/>
  <c r="O152" i="8"/>
  <c r="L152" i="8"/>
  <c r="M152" i="8"/>
  <c r="N152" i="8"/>
  <c r="P152" i="8"/>
  <c r="O152" i="9"/>
  <c r="L152" i="9"/>
  <c r="M152" i="9"/>
  <c r="N152" i="9"/>
  <c r="P152" i="9"/>
  <c r="L152" i="7"/>
  <c r="M152" i="7"/>
  <c r="N152" i="7"/>
  <c r="O152" i="7"/>
  <c r="P152" i="7"/>
  <c r="G152" i="1"/>
  <c r="O153" i="8"/>
  <c r="L153" i="8"/>
  <c r="M153" i="8"/>
  <c r="N153" i="8"/>
  <c r="O153" i="9"/>
  <c r="L153" i="9"/>
  <c r="M153" i="9"/>
  <c r="N153" i="9"/>
  <c r="L153" i="7"/>
  <c r="M153" i="7"/>
  <c r="N153" i="7"/>
  <c r="O153" i="7"/>
  <c r="P153" i="7"/>
  <c r="G153" i="1"/>
  <c r="O154" i="8"/>
  <c r="L154" i="8"/>
  <c r="M154" i="8"/>
  <c r="N154" i="8"/>
  <c r="P154" i="8"/>
  <c r="O154" i="9"/>
  <c r="L154" i="9"/>
  <c r="M154" i="9"/>
  <c r="N154" i="9"/>
  <c r="P154" i="9"/>
  <c r="L154" i="7"/>
  <c r="M154" i="7"/>
  <c r="N154" i="7"/>
  <c r="O154" i="7"/>
  <c r="P154" i="7"/>
  <c r="P154" i="1"/>
  <c r="G154" i="1"/>
  <c r="T154" i="1"/>
  <c r="O155" i="8"/>
  <c r="L155" i="8"/>
  <c r="M155" i="8"/>
  <c r="N155" i="8"/>
  <c r="O155" i="9"/>
  <c r="L155" i="9"/>
  <c r="M155" i="9"/>
  <c r="N155" i="9"/>
  <c r="P155" i="9"/>
  <c r="L155" i="7"/>
  <c r="M155" i="7"/>
  <c r="N155" i="7"/>
  <c r="O155" i="7"/>
  <c r="P155" i="7"/>
  <c r="G155" i="1"/>
  <c r="O156" i="8"/>
  <c r="L156" i="8"/>
  <c r="M156" i="8"/>
  <c r="N156" i="8"/>
  <c r="P156" i="8"/>
  <c r="O156" i="9"/>
  <c r="L156" i="9"/>
  <c r="M156" i="9"/>
  <c r="N156" i="9"/>
  <c r="P156" i="9"/>
  <c r="L156" i="7"/>
  <c r="M156" i="7"/>
  <c r="N156" i="7"/>
  <c r="O156" i="7"/>
  <c r="G156" i="1"/>
  <c r="O157" i="9"/>
  <c r="L157" i="9"/>
  <c r="M157" i="9"/>
  <c r="N157" i="9"/>
  <c r="P157" i="9"/>
  <c r="P157" i="1"/>
  <c r="G157" i="1"/>
  <c r="T157" i="1"/>
  <c r="O143" i="7"/>
  <c r="L143" i="7"/>
  <c r="M143" i="7"/>
  <c r="N143" i="7"/>
  <c r="O143" i="8"/>
  <c r="L143" i="8"/>
  <c r="M143" i="8"/>
  <c r="N143" i="8"/>
  <c r="P143" i="8"/>
  <c r="O143" i="9"/>
  <c r="L143" i="9"/>
  <c r="M143" i="9"/>
  <c r="N143" i="9"/>
  <c r="P143" i="9"/>
  <c r="G143" i="1"/>
  <c r="O144" i="8"/>
  <c r="L144" i="8"/>
  <c r="M144" i="8"/>
  <c r="N144" i="8"/>
  <c r="P144" i="8"/>
  <c r="O144" i="9"/>
  <c r="L144" i="9"/>
  <c r="M144" i="9"/>
  <c r="N144" i="9"/>
  <c r="L144" i="7"/>
  <c r="M144" i="7"/>
  <c r="N144" i="7"/>
  <c r="O144" i="7"/>
  <c r="G144" i="1"/>
  <c r="O145" i="8"/>
  <c r="L145" i="8"/>
  <c r="M145" i="8"/>
  <c r="N145" i="8"/>
  <c r="P145" i="8"/>
  <c r="O145" i="9"/>
  <c r="L145" i="9"/>
  <c r="M145" i="9"/>
  <c r="N145" i="9"/>
  <c r="P145" i="9"/>
  <c r="L145" i="7"/>
  <c r="M145" i="7"/>
  <c r="N145" i="7"/>
  <c r="O145" i="7"/>
  <c r="P145" i="7"/>
  <c r="P145" i="1"/>
  <c r="G145" i="1"/>
  <c r="T145" i="1"/>
  <c r="O146" i="8"/>
  <c r="L146" i="8"/>
  <c r="M146" i="8"/>
  <c r="N146" i="8"/>
  <c r="P146" i="8"/>
  <c r="O146" i="9"/>
  <c r="L146" i="9"/>
  <c r="M146" i="9"/>
  <c r="N146" i="9"/>
  <c r="L146" i="7"/>
  <c r="M146" i="7"/>
  <c r="N146" i="7"/>
  <c r="O146" i="7"/>
  <c r="G146" i="1"/>
  <c r="T147" i="1"/>
  <c r="T134" i="1"/>
  <c r="O135" i="7"/>
  <c r="L135" i="7"/>
  <c r="M135" i="7"/>
  <c r="N135" i="7"/>
  <c r="O135" i="8"/>
  <c r="L135" i="8"/>
  <c r="M135" i="8"/>
  <c r="N135" i="8"/>
  <c r="O135" i="9"/>
  <c r="L135" i="9"/>
  <c r="M135" i="9"/>
  <c r="N135" i="9"/>
  <c r="P135" i="9"/>
  <c r="G135" i="1"/>
  <c r="O136" i="7"/>
  <c r="L136" i="7"/>
  <c r="M136" i="7"/>
  <c r="N136" i="7"/>
  <c r="P136" i="7"/>
  <c r="O136" i="8"/>
  <c r="L136" i="8"/>
  <c r="M136" i="8"/>
  <c r="N136" i="8"/>
  <c r="P136" i="8"/>
  <c r="O136" i="9"/>
  <c r="L136" i="9"/>
  <c r="M136" i="9"/>
  <c r="N136" i="9"/>
  <c r="P136" i="9"/>
  <c r="G136" i="1"/>
  <c r="O137" i="7"/>
  <c r="L137" i="7"/>
  <c r="M137" i="7"/>
  <c r="N137" i="7"/>
  <c r="O137" i="8"/>
  <c r="L137" i="8"/>
  <c r="M137" i="8"/>
  <c r="N137" i="8"/>
  <c r="O137" i="9"/>
  <c r="L137" i="9"/>
  <c r="M137" i="9"/>
  <c r="N137" i="9"/>
  <c r="P137" i="9"/>
  <c r="G137" i="1"/>
  <c r="O138" i="7"/>
  <c r="L138" i="7"/>
  <c r="M138" i="7"/>
  <c r="N138" i="7"/>
  <c r="P138" i="7"/>
  <c r="O138" i="8"/>
  <c r="L138" i="8"/>
  <c r="M138" i="8"/>
  <c r="N138" i="8"/>
  <c r="P138" i="8"/>
  <c r="O138" i="9"/>
  <c r="L138" i="9"/>
  <c r="M138" i="9"/>
  <c r="N138" i="9"/>
  <c r="P138" i="9"/>
  <c r="G138" i="1"/>
  <c r="T132" i="1"/>
  <c r="P99" i="7"/>
  <c r="O99" i="8"/>
  <c r="L99" i="8"/>
  <c r="M99" i="8"/>
  <c r="N99" i="8"/>
  <c r="P99" i="8"/>
  <c r="O99" i="9"/>
  <c r="L99" i="9"/>
  <c r="M99" i="9"/>
  <c r="N99" i="9"/>
  <c r="P99" i="9"/>
  <c r="G99" i="1"/>
  <c r="P100" i="7"/>
  <c r="O100" i="8"/>
  <c r="L100" i="8"/>
  <c r="M100" i="8"/>
  <c r="N100" i="8"/>
  <c r="O100" i="9"/>
  <c r="L100" i="9"/>
  <c r="M100" i="9"/>
  <c r="N100" i="9"/>
  <c r="P100" i="9"/>
  <c r="G100" i="1"/>
  <c r="P101" i="7"/>
  <c r="L101" i="8"/>
  <c r="M101" i="8"/>
  <c r="N101" i="8"/>
  <c r="O101" i="8"/>
  <c r="P101" i="8"/>
  <c r="L101" i="9"/>
  <c r="M101" i="9"/>
  <c r="N101" i="9"/>
  <c r="O101" i="9"/>
  <c r="P101" i="9"/>
  <c r="P101" i="1"/>
  <c r="G101" i="1"/>
  <c r="T101" i="1"/>
  <c r="O102" i="8"/>
  <c r="L102" i="8"/>
  <c r="M102" i="8"/>
  <c r="N102" i="8"/>
  <c r="P102" i="8"/>
  <c r="O102" i="9"/>
  <c r="L102" i="9"/>
  <c r="M102" i="9"/>
  <c r="N102" i="9"/>
  <c r="L102" i="7"/>
  <c r="M102" i="7"/>
  <c r="N102" i="7"/>
  <c r="O102" i="7"/>
  <c r="P102" i="7"/>
  <c r="G102" i="1"/>
  <c r="O103" i="8"/>
  <c r="L103" i="8"/>
  <c r="M103" i="8"/>
  <c r="N103" i="8"/>
  <c r="P103" i="8"/>
  <c r="O103" i="9"/>
  <c r="L103" i="9"/>
  <c r="M103" i="9"/>
  <c r="N103" i="9"/>
  <c r="P103" i="9"/>
  <c r="L103" i="7"/>
  <c r="M103" i="7"/>
  <c r="N103" i="7"/>
  <c r="O103" i="7"/>
  <c r="P103" i="7"/>
  <c r="G103" i="1"/>
  <c r="O104" i="8"/>
  <c r="L104" i="8"/>
  <c r="M104" i="8"/>
  <c r="N104" i="8"/>
  <c r="P104" i="8"/>
  <c r="O104" i="9"/>
  <c r="L104" i="9"/>
  <c r="M104" i="9"/>
  <c r="N104" i="9"/>
  <c r="L104" i="7"/>
  <c r="M104" i="7"/>
  <c r="N104" i="7"/>
  <c r="O104" i="7"/>
  <c r="P104" i="7"/>
  <c r="G104" i="1"/>
  <c r="O105" i="8"/>
  <c r="L105" i="8"/>
  <c r="M105" i="8"/>
  <c r="N105" i="8"/>
  <c r="P105" i="8"/>
  <c r="O105" i="9"/>
  <c r="L105" i="9"/>
  <c r="M105" i="9"/>
  <c r="N105" i="9"/>
  <c r="P105" i="9"/>
  <c r="L105" i="7"/>
  <c r="M105" i="7"/>
  <c r="N105" i="7"/>
  <c r="O105" i="7"/>
  <c r="P105" i="7"/>
  <c r="P105" i="1"/>
  <c r="G105" i="1"/>
  <c r="T105" i="1"/>
  <c r="O106" i="8"/>
  <c r="L106" i="8"/>
  <c r="M106" i="8"/>
  <c r="N106" i="8"/>
  <c r="P106" i="8"/>
  <c r="O106" i="9"/>
  <c r="L106" i="9"/>
  <c r="M106" i="9"/>
  <c r="N106" i="9"/>
  <c r="P106" i="9"/>
  <c r="L106" i="7"/>
  <c r="M106" i="7"/>
  <c r="N106" i="7"/>
  <c r="O106" i="7"/>
  <c r="P106" i="7"/>
  <c r="P106" i="1"/>
  <c r="G106" i="1"/>
  <c r="T106" i="1"/>
  <c r="O107" i="8"/>
  <c r="L107" i="8"/>
  <c r="M107" i="8"/>
  <c r="N107" i="8"/>
  <c r="P107" i="8"/>
  <c r="O107" i="9"/>
  <c r="L107" i="9"/>
  <c r="M107" i="9"/>
  <c r="N107" i="9"/>
  <c r="P107" i="9"/>
  <c r="L107" i="7"/>
  <c r="M107" i="7"/>
  <c r="N107" i="7"/>
  <c r="O107" i="7"/>
  <c r="P107" i="7"/>
  <c r="G107" i="1"/>
  <c r="O9" i="8"/>
  <c r="L9" i="8"/>
  <c r="M9" i="8"/>
  <c r="N9" i="8"/>
  <c r="O9" i="9"/>
  <c r="L9" i="9"/>
  <c r="M9" i="9"/>
  <c r="N9" i="9"/>
  <c r="P9" i="9"/>
  <c r="L9" i="7"/>
  <c r="M9" i="7"/>
  <c r="N9" i="7"/>
  <c r="O9" i="7"/>
  <c r="P9" i="7"/>
  <c r="G9" i="1"/>
  <c r="O10" i="8"/>
  <c r="L10" i="8"/>
  <c r="M10" i="8"/>
  <c r="N10" i="8"/>
  <c r="P10" i="8"/>
  <c r="O10" i="9"/>
  <c r="L10" i="9"/>
  <c r="M10" i="9"/>
  <c r="N10" i="9"/>
  <c r="P10" i="9"/>
  <c r="L10" i="7"/>
  <c r="M10" i="7"/>
  <c r="N10" i="7"/>
  <c r="O10" i="7"/>
  <c r="P10" i="7"/>
  <c r="G10" i="1"/>
  <c r="O11" i="8"/>
  <c r="L11" i="8"/>
  <c r="M11" i="8"/>
  <c r="N11" i="8"/>
  <c r="P11" i="8"/>
  <c r="O11" i="9"/>
  <c r="L11" i="9"/>
  <c r="M11" i="9"/>
  <c r="N11" i="9"/>
  <c r="P11" i="9"/>
  <c r="L11" i="7"/>
  <c r="M11" i="7"/>
  <c r="N11" i="7"/>
  <c r="O11" i="7"/>
  <c r="P11" i="7"/>
  <c r="P11" i="1"/>
  <c r="G11" i="1"/>
  <c r="T11" i="1"/>
  <c r="O12" i="8"/>
  <c r="L12" i="8"/>
  <c r="M12" i="8"/>
  <c r="N12" i="8"/>
  <c r="P12" i="8"/>
  <c r="O12" i="9"/>
  <c r="L12" i="9"/>
  <c r="M12" i="9"/>
  <c r="N12" i="9"/>
  <c r="P12" i="9"/>
  <c r="L12" i="7"/>
  <c r="M12" i="7"/>
  <c r="N12" i="7"/>
  <c r="O12" i="7"/>
  <c r="P12" i="7"/>
  <c r="G12" i="1"/>
  <c r="O13" i="8"/>
  <c r="L13" i="8"/>
  <c r="M13" i="8"/>
  <c r="N13" i="8"/>
  <c r="P13" i="8"/>
  <c r="O13" i="9"/>
  <c r="L13" i="9"/>
  <c r="M13" i="9"/>
  <c r="N13" i="9"/>
  <c r="P13" i="9"/>
  <c r="L13" i="7"/>
  <c r="M13" i="7"/>
  <c r="N13" i="7"/>
  <c r="O13" i="7"/>
  <c r="P13" i="7"/>
  <c r="P13" i="1"/>
  <c r="G13" i="1"/>
  <c r="T13" i="1"/>
  <c r="O14" i="8"/>
  <c r="L14" i="8"/>
  <c r="M14" i="8"/>
  <c r="N14" i="8"/>
  <c r="P14" i="8"/>
  <c r="O14" i="9"/>
  <c r="L14" i="9"/>
  <c r="M14" i="9"/>
  <c r="N14" i="9"/>
  <c r="P14" i="9"/>
  <c r="L14" i="7"/>
  <c r="M14" i="7"/>
  <c r="N14" i="7"/>
  <c r="O14" i="7"/>
  <c r="P14" i="7"/>
  <c r="G14" i="1"/>
  <c r="O15" i="8"/>
  <c r="L15" i="8"/>
  <c r="M15" i="8"/>
  <c r="N15" i="8"/>
  <c r="P15" i="8"/>
  <c r="O15" i="9"/>
  <c r="L15" i="9"/>
  <c r="M15" i="9"/>
  <c r="N15" i="9"/>
  <c r="P15" i="9"/>
  <c r="L15" i="7"/>
  <c r="M15" i="7"/>
  <c r="N15" i="7"/>
  <c r="O15" i="7"/>
  <c r="P15" i="7"/>
  <c r="P15" i="1"/>
  <c r="G15" i="1"/>
  <c r="T15" i="1"/>
  <c r="O16" i="8"/>
  <c r="L16" i="8"/>
  <c r="M16" i="8"/>
  <c r="N16" i="8"/>
  <c r="P16" i="8"/>
  <c r="O16" i="9"/>
  <c r="L16" i="9"/>
  <c r="M16" i="9"/>
  <c r="N16" i="9"/>
  <c r="P16" i="9"/>
  <c r="L16" i="7"/>
  <c r="M16" i="7"/>
  <c r="N16" i="7"/>
  <c r="O16" i="7"/>
  <c r="P16" i="7"/>
  <c r="G16" i="1"/>
  <c r="O17" i="8"/>
  <c r="L17" i="8"/>
  <c r="M17" i="8"/>
  <c r="N17" i="8"/>
  <c r="P17" i="8"/>
  <c r="O17" i="9"/>
  <c r="L17" i="9"/>
  <c r="M17" i="9"/>
  <c r="N17" i="9"/>
  <c r="P17" i="9"/>
  <c r="L17" i="7"/>
  <c r="M17" i="7"/>
  <c r="N17" i="7"/>
  <c r="O17" i="7"/>
  <c r="P17" i="7"/>
  <c r="P17" i="1"/>
  <c r="G17" i="1"/>
  <c r="T17" i="1"/>
  <c r="O21" i="8"/>
  <c r="L21" i="8"/>
  <c r="M21" i="8"/>
  <c r="N21" i="8"/>
  <c r="P21" i="8"/>
  <c r="O21" i="9"/>
  <c r="L21" i="9"/>
  <c r="M21" i="9"/>
  <c r="N21" i="9"/>
  <c r="P21" i="9"/>
  <c r="L21" i="7"/>
  <c r="M21" i="7"/>
  <c r="N21" i="7"/>
  <c r="O21" i="7"/>
  <c r="P21" i="7"/>
  <c r="P21" i="1"/>
  <c r="G21" i="1"/>
  <c r="T21" i="1"/>
  <c r="O22" i="8"/>
  <c r="L22" i="8"/>
  <c r="M22" i="8"/>
  <c r="N22" i="8"/>
  <c r="P22" i="8"/>
  <c r="O22" i="9"/>
  <c r="L22" i="9"/>
  <c r="M22" i="9"/>
  <c r="N22" i="9"/>
  <c r="P22" i="9"/>
  <c r="L22" i="7"/>
  <c r="M22" i="7"/>
  <c r="N22" i="7"/>
  <c r="O22" i="7"/>
  <c r="P22" i="7"/>
  <c r="G22" i="1"/>
  <c r="O23" i="8"/>
  <c r="L23" i="8"/>
  <c r="M23" i="8"/>
  <c r="N23" i="8"/>
  <c r="P23" i="8"/>
  <c r="O23" i="9"/>
  <c r="L23" i="9"/>
  <c r="M23" i="9"/>
  <c r="N23" i="9"/>
  <c r="P23" i="9"/>
  <c r="L23" i="7"/>
  <c r="M23" i="7"/>
  <c r="N23" i="7"/>
  <c r="O23" i="7"/>
  <c r="P23" i="7"/>
  <c r="P23" i="1"/>
  <c r="G23" i="1"/>
  <c r="T23" i="1"/>
  <c r="O24" i="8"/>
  <c r="L24" i="8"/>
  <c r="M24" i="8"/>
  <c r="N24" i="8"/>
  <c r="P24" i="8"/>
  <c r="O24" i="9"/>
  <c r="L24" i="9"/>
  <c r="M24" i="9"/>
  <c r="N24" i="9"/>
  <c r="P24" i="9"/>
  <c r="L24" i="7"/>
  <c r="M24" i="7"/>
  <c r="N24" i="7"/>
  <c r="O24" i="7"/>
  <c r="P24" i="7"/>
  <c r="P24" i="1"/>
  <c r="G24" i="1"/>
  <c r="T24" i="1"/>
  <c r="O25" i="8"/>
  <c r="L25" i="8"/>
  <c r="M25" i="8"/>
  <c r="N25" i="8"/>
  <c r="P25" i="8"/>
  <c r="O25" i="9"/>
  <c r="L25" i="9"/>
  <c r="M25" i="9"/>
  <c r="N25" i="9"/>
  <c r="P25" i="9"/>
  <c r="L25" i="7"/>
  <c r="M25" i="7"/>
  <c r="N25" i="7"/>
  <c r="O25" i="7"/>
  <c r="P25" i="7"/>
  <c r="P25" i="1"/>
  <c r="G25" i="1"/>
  <c r="T25" i="1"/>
  <c r="O26" i="8"/>
  <c r="L26" i="8"/>
  <c r="M26" i="8"/>
  <c r="N26" i="8"/>
  <c r="P26" i="8"/>
  <c r="O26" i="9"/>
  <c r="L26" i="9"/>
  <c r="M26" i="9"/>
  <c r="N26" i="9"/>
  <c r="P26" i="9"/>
  <c r="L26" i="7"/>
  <c r="M26" i="7"/>
  <c r="N26" i="7"/>
  <c r="O26" i="7"/>
  <c r="P26" i="7"/>
  <c r="G26" i="1"/>
  <c r="O27" i="8"/>
  <c r="L27" i="8"/>
  <c r="M27" i="8"/>
  <c r="N27" i="8"/>
  <c r="P27" i="8"/>
  <c r="O27" i="9"/>
  <c r="L27" i="9"/>
  <c r="M27" i="9"/>
  <c r="N27" i="9"/>
  <c r="P27" i="9"/>
  <c r="L27" i="7"/>
  <c r="M27" i="7"/>
  <c r="N27" i="7"/>
  <c r="O27" i="7"/>
  <c r="P27" i="7"/>
  <c r="P27" i="1"/>
  <c r="G27" i="1"/>
  <c r="T27" i="1"/>
  <c r="O28" i="8"/>
  <c r="L28" i="8"/>
  <c r="M28" i="8"/>
  <c r="N28" i="8"/>
  <c r="P28" i="8"/>
  <c r="O28" i="9"/>
  <c r="L28" i="9"/>
  <c r="M28" i="9"/>
  <c r="N28" i="9"/>
  <c r="P28" i="9"/>
  <c r="L28" i="7"/>
  <c r="M28" i="7"/>
  <c r="N28" i="7"/>
  <c r="O28" i="7"/>
  <c r="P28" i="7"/>
  <c r="P28" i="1"/>
  <c r="G28" i="1"/>
  <c r="T28" i="1"/>
  <c r="O29" i="8"/>
  <c r="L29" i="8"/>
  <c r="M29" i="8"/>
  <c r="N29" i="8"/>
  <c r="P29" i="8"/>
  <c r="O29" i="9"/>
  <c r="L29" i="9"/>
  <c r="M29" i="9"/>
  <c r="N29" i="9"/>
  <c r="P29" i="9"/>
  <c r="L29" i="7"/>
  <c r="M29" i="7"/>
  <c r="N29" i="7"/>
  <c r="O29" i="7"/>
  <c r="P29" i="7"/>
  <c r="P29" i="1"/>
  <c r="G29" i="1"/>
  <c r="T29" i="1"/>
  <c r="O30" i="8"/>
  <c r="L30" i="8"/>
  <c r="M30" i="8"/>
  <c r="N30" i="8"/>
  <c r="P30" i="8"/>
  <c r="O30" i="9"/>
  <c r="L30" i="9"/>
  <c r="M30" i="9"/>
  <c r="N30" i="9"/>
  <c r="P30" i="9"/>
  <c r="L30" i="7"/>
  <c r="M30" i="7"/>
  <c r="N30" i="7"/>
  <c r="O30" i="7"/>
  <c r="P30" i="7"/>
  <c r="G30" i="1"/>
  <c r="P31" i="1"/>
  <c r="G31" i="1"/>
  <c r="T31" i="1"/>
  <c r="O35" i="7"/>
  <c r="L35" i="7"/>
  <c r="M35" i="7"/>
  <c r="N35" i="7"/>
  <c r="P35" i="7"/>
  <c r="L35" i="8"/>
  <c r="M35" i="8"/>
  <c r="N35" i="8"/>
  <c r="O35" i="8"/>
  <c r="P35" i="8"/>
  <c r="L35" i="9"/>
  <c r="M35" i="9"/>
  <c r="N35" i="9"/>
  <c r="O35" i="9"/>
  <c r="P35" i="9"/>
  <c r="P35" i="1"/>
  <c r="G35" i="1"/>
  <c r="O36" i="7"/>
  <c r="L36" i="7"/>
  <c r="M36" i="7"/>
  <c r="N36" i="7"/>
  <c r="P36" i="7"/>
  <c r="L36" i="8"/>
  <c r="M36" i="8"/>
  <c r="N36" i="8"/>
  <c r="O36" i="8"/>
  <c r="P36" i="8"/>
  <c r="L36" i="9"/>
  <c r="M36" i="9"/>
  <c r="N36" i="9"/>
  <c r="O36" i="9"/>
  <c r="P36" i="9"/>
  <c r="P36" i="1"/>
  <c r="G36" i="1"/>
  <c r="T36" i="1"/>
  <c r="N37" i="7"/>
  <c r="L37" i="7"/>
  <c r="M37" i="7"/>
  <c r="O37" i="7"/>
  <c r="P37" i="7"/>
  <c r="P37" i="1"/>
  <c r="G37" i="1"/>
  <c r="T37" i="1"/>
  <c r="O38" i="7"/>
  <c r="L38" i="7"/>
  <c r="M38" i="7"/>
  <c r="N38" i="7"/>
  <c r="P38" i="7"/>
  <c r="O38" i="8"/>
  <c r="L38" i="8"/>
  <c r="M38" i="8"/>
  <c r="N38" i="8"/>
  <c r="O38" i="9"/>
  <c r="L38" i="9"/>
  <c r="M38" i="9"/>
  <c r="N38" i="9"/>
  <c r="P38" i="9"/>
  <c r="G38" i="1"/>
  <c r="O39" i="8"/>
  <c r="L39" i="8"/>
  <c r="M39" i="8"/>
  <c r="N39" i="8"/>
  <c r="P39" i="8"/>
  <c r="O39" i="9"/>
  <c r="L39" i="9"/>
  <c r="M39" i="9"/>
  <c r="N39" i="9"/>
  <c r="P39" i="9"/>
  <c r="L39" i="7"/>
  <c r="M39" i="7"/>
  <c r="N39" i="7"/>
  <c r="O39" i="7"/>
  <c r="P39" i="7"/>
  <c r="P39" i="1"/>
  <c r="G39" i="1"/>
  <c r="T39" i="1"/>
  <c r="O40" i="7"/>
  <c r="M40" i="7"/>
  <c r="N40" i="7"/>
  <c r="L40" i="7"/>
  <c r="P40" i="7"/>
  <c r="L40" i="8"/>
  <c r="M40" i="8"/>
  <c r="N40" i="8"/>
  <c r="O40" i="8"/>
  <c r="P40" i="8"/>
  <c r="L40" i="9"/>
  <c r="M40" i="9"/>
  <c r="N40" i="9"/>
  <c r="O40" i="9"/>
  <c r="P40" i="9"/>
  <c r="P40" i="1"/>
  <c r="G40" i="1"/>
  <c r="T40" i="1"/>
  <c r="O41" i="8"/>
  <c r="L41" i="8"/>
  <c r="M41" i="8"/>
  <c r="N41" i="8"/>
  <c r="P41" i="8"/>
  <c r="O41" i="9"/>
  <c r="L41" i="9"/>
  <c r="M41" i="9"/>
  <c r="N41" i="9"/>
  <c r="P41" i="9"/>
  <c r="L41" i="7"/>
  <c r="M41" i="7"/>
  <c r="N41" i="7"/>
  <c r="O41" i="7"/>
  <c r="P41" i="7"/>
  <c r="G41" i="1"/>
  <c r="O42" i="8"/>
  <c r="L42" i="8"/>
  <c r="M42" i="8"/>
  <c r="N42" i="8"/>
  <c r="P42" i="8"/>
  <c r="O42" i="9"/>
  <c r="L42" i="9"/>
  <c r="M42" i="9"/>
  <c r="N42" i="9"/>
  <c r="L42" i="7"/>
  <c r="M42" i="7"/>
  <c r="N42" i="7"/>
  <c r="O42" i="7"/>
  <c r="P42" i="7"/>
  <c r="G42" i="1"/>
  <c r="P43" i="1"/>
  <c r="G43" i="1"/>
  <c r="T43" i="1"/>
  <c r="O48" i="8"/>
  <c r="L48" i="8"/>
  <c r="M48" i="8"/>
  <c r="N48" i="8"/>
  <c r="P48" i="8"/>
  <c r="O48" i="9"/>
  <c r="L48" i="9"/>
  <c r="M48" i="9"/>
  <c r="N48" i="9"/>
  <c r="L48" i="7"/>
  <c r="M48" i="7"/>
  <c r="N48" i="7"/>
  <c r="O48" i="7"/>
  <c r="P48" i="7"/>
  <c r="G48" i="1"/>
  <c r="O49" i="8"/>
  <c r="L49" i="8"/>
  <c r="M49" i="8"/>
  <c r="N49" i="8"/>
  <c r="O49" i="9"/>
  <c r="L49" i="9"/>
  <c r="M49" i="9"/>
  <c r="N49" i="9"/>
  <c r="P49" i="9"/>
  <c r="L49" i="7"/>
  <c r="M49" i="7"/>
  <c r="N49" i="7"/>
  <c r="O49" i="7"/>
  <c r="P49" i="7"/>
  <c r="G49" i="1"/>
  <c r="N50" i="7"/>
  <c r="O50" i="7"/>
  <c r="L50" i="7"/>
  <c r="M50" i="7"/>
  <c r="P50" i="7"/>
  <c r="O50" i="8"/>
  <c r="L50" i="8"/>
  <c r="M50" i="8"/>
  <c r="N50" i="8"/>
  <c r="P50" i="8"/>
  <c r="O50" i="9"/>
  <c r="L50" i="9"/>
  <c r="M50" i="9"/>
  <c r="N50" i="9"/>
  <c r="P50" i="9"/>
  <c r="G50" i="1"/>
  <c r="O51" i="8"/>
  <c r="L51" i="8"/>
  <c r="M51" i="8"/>
  <c r="N51" i="8"/>
  <c r="O51" i="9"/>
  <c r="L51" i="9"/>
  <c r="M51" i="9"/>
  <c r="N51" i="9"/>
  <c r="P51" i="9"/>
  <c r="L51" i="7"/>
  <c r="M51" i="7"/>
  <c r="N51" i="7"/>
  <c r="O51" i="7"/>
  <c r="P51" i="7"/>
  <c r="G51" i="1"/>
  <c r="J149" i="7"/>
  <c r="J52" i="7"/>
  <c r="O52" i="7"/>
  <c r="H149" i="7"/>
  <c r="H52" i="7"/>
  <c r="L52" i="7"/>
  <c r="I149" i="7"/>
  <c r="I52" i="7"/>
  <c r="M52" i="7"/>
  <c r="O52" i="8"/>
  <c r="L52" i="8"/>
  <c r="M52" i="8"/>
  <c r="N52" i="8"/>
  <c r="P52" i="8"/>
  <c r="O52" i="9"/>
  <c r="L52" i="9"/>
  <c r="M52" i="9"/>
  <c r="O53" i="7"/>
  <c r="H158" i="7"/>
  <c r="H53" i="7"/>
  <c r="L53" i="7"/>
  <c r="I158" i="7"/>
  <c r="I53" i="7"/>
  <c r="M53" i="7"/>
  <c r="J158" i="7"/>
  <c r="J53" i="7"/>
  <c r="N53" i="7"/>
  <c r="P53" i="7"/>
  <c r="O53" i="8"/>
  <c r="L53" i="8"/>
  <c r="M53" i="8"/>
  <c r="N53" i="8"/>
  <c r="P53" i="8"/>
  <c r="O53" i="9"/>
  <c r="L53" i="9"/>
  <c r="M53" i="9"/>
  <c r="N53" i="9"/>
  <c r="P53" i="9"/>
  <c r="J140" i="7"/>
  <c r="J54" i="7"/>
  <c r="O54" i="7"/>
  <c r="H140" i="7"/>
  <c r="H54" i="7"/>
  <c r="L54" i="7"/>
  <c r="I140" i="7"/>
  <c r="I54" i="7"/>
  <c r="O54" i="8"/>
  <c r="L54" i="8"/>
  <c r="M54" i="8"/>
  <c r="N54" i="8"/>
  <c r="P54" i="8"/>
  <c r="O54" i="9"/>
  <c r="L54" i="9"/>
  <c r="M54" i="9"/>
  <c r="N54" i="9"/>
  <c r="P54" i="9"/>
  <c r="G54" i="1"/>
  <c r="O55" i="8"/>
  <c r="L55" i="8"/>
  <c r="M55" i="8"/>
  <c r="N55" i="8"/>
  <c r="P55" i="8"/>
  <c r="O55" i="9"/>
  <c r="L55" i="9"/>
  <c r="M55" i="9"/>
  <c r="N55" i="9"/>
  <c r="P55" i="9"/>
  <c r="L55" i="7"/>
  <c r="M55" i="7"/>
  <c r="N55" i="7"/>
  <c r="O55" i="7"/>
  <c r="P55" i="7"/>
  <c r="P55" i="1"/>
  <c r="G55" i="1"/>
  <c r="T55" i="1"/>
  <c r="O56" i="8"/>
  <c r="L56" i="8"/>
  <c r="M56" i="8"/>
  <c r="N56" i="8"/>
  <c r="P56" i="8"/>
  <c r="O56" i="9"/>
  <c r="L56" i="9"/>
  <c r="M56" i="9"/>
  <c r="N56" i="9"/>
  <c r="P56" i="9"/>
  <c r="L56" i="7"/>
  <c r="M56" i="7"/>
  <c r="N56" i="7"/>
  <c r="O56" i="7"/>
  <c r="P56" i="7"/>
  <c r="G56" i="1"/>
  <c r="O57" i="8"/>
  <c r="L57" i="8"/>
  <c r="M57" i="8"/>
  <c r="P57" i="8"/>
  <c r="O57" i="9"/>
  <c r="L57" i="9"/>
  <c r="M57" i="9"/>
  <c r="N57" i="9"/>
  <c r="P57" i="9"/>
  <c r="L57" i="7"/>
  <c r="M57" i="7"/>
  <c r="N57" i="7"/>
  <c r="O57" i="7"/>
  <c r="G57" i="1"/>
  <c r="O58" i="8"/>
  <c r="L58" i="8"/>
  <c r="M58" i="8"/>
  <c r="N58" i="8"/>
  <c r="P58" i="8"/>
  <c r="O58" i="9"/>
  <c r="L58" i="9"/>
  <c r="M58" i="9"/>
  <c r="N58" i="9"/>
  <c r="P58" i="9"/>
  <c r="L58" i="7"/>
  <c r="M58" i="7"/>
  <c r="N58" i="7"/>
  <c r="O58" i="7"/>
  <c r="P58" i="7"/>
  <c r="P58" i="1"/>
  <c r="G58" i="1"/>
  <c r="T58" i="1"/>
  <c r="O59" i="8"/>
  <c r="L59" i="8"/>
  <c r="M59" i="8"/>
  <c r="N59" i="8"/>
  <c r="P59" i="8"/>
  <c r="O59" i="9"/>
  <c r="L59" i="9"/>
  <c r="M59" i="9"/>
  <c r="N59" i="9"/>
  <c r="P59" i="9"/>
  <c r="L59" i="7"/>
  <c r="M59" i="7"/>
  <c r="N59" i="7"/>
  <c r="O59" i="7"/>
  <c r="P59" i="7"/>
  <c r="G59" i="1"/>
  <c r="O60" i="8"/>
  <c r="L60" i="8"/>
  <c r="M60" i="8"/>
  <c r="N60" i="8"/>
  <c r="O60" i="9"/>
  <c r="L60" i="9"/>
  <c r="M60" i="9"/>
  <c r="N60" i="9"/>
  <c r="P60" i="9"/>
  <c r="L60" i="7"/>
  <c r="M60" i="7"/>
  <c r="N60" i="7"/>
  <c r="O60" i="7"/>
  <c r="P60" i="7"/>
  <c r="G60" i="1"/>
  <c r="O61" i="8"/>
  <c r="L61" i="8"/>
  <c r="M61" i="8"/>
  <c r="N61" i="8"/>
  <c r="P61" i="8"/>
  <c r="O61" i="9"/>
  <c r="L61" i="9"/>
  <c r="M61" i="9"/>
  <c r="N61" i="9"/>
  <c r="L61" i="7"/>
  <c r="M61" i="7"/>
  <c r="N61" i="7"/>
  <c r="O61" i="7"/>
  <c r="P61" i="7"/>
  <c r="G61" i="1"/>
  <c r="O62" i="8"/>
  <c r="L62" i="8"/>
  <c r="M62" i="8"/>
  <c r="N62" i="8"/>
  <c r="P62" i="8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L62" i="9"/>
  <c r="M62" i="9"/>
  <c r="N62" i="9"/>
  <c r="P62" i="9"/>
  <c r="L62" i="7"/>
  <c r="M62" i="7"/>
  <c r="N62" i="7"/>
  <c r="O62" i="7"/>
  <c r="G62" i="1"/>
  <c r="O63" i="7"/>
  <c r="L63" i="7"/>
  <c r="M63" i="7"/>
  <c r="N63" i="7"/>
  <c r="P63" i="7"/>
  <c r="O63" i="8"/>
  <c r="L63" i="8"/>
  <c r="M63" i="8"/>
  <c r="N63" i="8"/>
  <c r="P63" i="8"/>
  <c r="T63" i="8"/>
  <c r="L63" i="9"/>
  <c r="M63" i="9"/>
  <c r="N63" i="9"/>
  <c r="G63" i="1"/>
  <c r="O64" i="7"/>
  <c r="L64" i="7"/>
  <c r="M64" i="7"/>
  <c r="N64" i="7"/>
  <c r="P64" i="7"/>
  <c r="O64" i="8"/>
  <c r="L64" i="8"/>
  <c r="M64" i="8"/>
  <c r="N64" i="8"/>
  <c r="P64" i="8"/>
  <c r="L64" i="9"/>
  <c r="M64" i="9"/>
  <c r="N64" i="9"/>
  <c r="P64" i="9"/>
  <c r="G64" i="1"/>
  <c r="O65" i="8"/>
  <c r="L65" i="8"/>
  <c r="M65" i="8"/>
  <c r="N65" i="8"/>
  <c r="L65" i="9"/>
  <c r="M65" i="9"/>
  <c r="N65" i="9"/>
  <c r="L65" i="7"/>
  <c r="M65" i="7"/>
  <c r="N65" i="7"/>
  <c r="O65" i="7"/>
  <c r="P65" i="7"/>
  <c r="G65" i="1"/>
  <c r="O66" i="7"/>
  <c r="L66" i="7"/>
  <c r="M66" i="7"/>
  <c r="N66" i="7"/>
  <c r="P66" i="7"/>
  <c r="O66" i="8"/>
  <c r="L66" i="8"/>
  <c r="M66" i="8"/>
  <c r="N66" i="8"/>
  <c r="P66" i="8"/>
  <c r="L66" i="9"/>
  <c r="M66" i="9"/>
  <c r="N66" i="9"/>
  <c r="P66" i="9"/>
  <c r="G66" i="1"/>
  <c r="O67" i="8"/>
  <c r="L67" i="8"/>
  <c r="M67" i="8"/>
  <c r="N67" i="8"/>
  <c r="N67" i="7"/>
  <c r="N67" i="9"/>
  <c r="N67" i="1"/>
  <c r="L67" i="9"/>
  <c r="M67" i="9"/>
  <c r="L67" i="7"/>
  <c r="M67" i="7"/>
  <c r="O67" i="7"/>
  <c r="P67" i="7"/>
  <c r="G67" i="1"/>
  <c r="J167" i="7"/>
  <c r="J68" i="7"/>
  <c r="I167" i="7"/>
  <c r="I68" i="7"/>
  <c r="N68" i="7"/>
  <c r="O68" i="7"/>
  <c r="H167" i="7"/>
  <c r="H68" i="7"/>
  <c r="L68" i="7"/>
  <c r="M68" i="7"/>
  <c r="O68" i="8"/>
  <c r="M68" i="8"/>
  <c r="N68" i="8"/>
  <c r="L68" i="8"/>
  <c r="L68" i="9"/>
  <c r="M68" i="9"/>
  <c r="N68" i="9"/>
  <c r="P68" i="9"/>
  <c r="O69" i="7"/>
  <c r="L69" i="7"/>
  <c r="M69" i="7"/>
  <c r="N69" i="7"/>
  <c r="P69" i="7"/>
  <c r="O69" i="8"/>
  <c r="L69" i="8"/>
  <c r="M69" i="8"/>
  <c r="N69" i="8"/>
  <c r="P69" i="8"/>
  <c r="L69" i="9"/>
  <c r="M69" i="9"/>
  <c r="N69" i="9"/>
  <c r="P69" i="9"/>
  <c r="G69" i="1"/>
  <c r="O70" i="7"/>
  <c r="L70" i="7"/>
  <c r="M70" i="7"/>
  <c r="N70" i="7"/>
  <c r="O70" i="8"/>
  <c r="L70" i="8"/>
  <c r="M70" i="8"/>
  <c r="N70" i="8"/>
  <c r="L70" i="9"/>
  <c r="M70" i="9"/>
  <c r="N70" i="9"/>
  <c r="P70" i="9"/>
  <c r="G70" i="1"/>
  <c r="P71" i="9"/>
  <c r="L71" i="7"/>
  <c r="M71" i="7"/>
  <c r="N71" i="7"/>
  <c r="O71" i="7"/>
  <c r="G71" i="1"/>
  <c r="O72" i="8"/>
  <c r="L72" i="8"/>
  <c r="M72" i="8"/>
  <c r="N72" i="8"/>
  <c r="P72" i="8"/>
  <c r="L72" i="9"/>
  <c r="M72" i="9"/>
  <c r="N72" i="9"/>
  <c r="L72" i="7"/>
  <c r="N72" i="7"/>
  <c r="O72" i="7"/>
  <c r="G72" i="1"/>
  <c r="O73" i="8"/>
  <c r="L73" i="8"/>
  <c r="M73" i="8"/>
  <c r="N73" i="8"/>
  <c r="L73" i="9"/>
  <c r="M73" i="9"/>
  <c r="N73" i="9"/>
  <c r="P73" i="9"/>
  <c r="L73" i="7"/>
  <c r="M73" i="7"/>
  <c r="N73" i="7"/>
  <c r="O73" i="7"/>
  <c r="P73" i="7"/>
  <c r="G73" i="1"/>
  <c r="O74" i="8"/>
  <c r="L74" i="8"/>
  <c r="M74" i="8"/>
  <c r="N74" i="8"/>
  <c r="P74" i="8"/>
  <c r="T74" i="8"/>
  <c r="L74" i="9"/>
  <c r="M74" i="9"/>
  <c r="N74" i="9"/>
  <c r="L74" i="7"/>
  <c r="M74" i="7"/>
  <c r="N74" i="7"/>
  <c r="O74" i="7"/>
  <c r="P74" i="7"/>
  <c r="G74" i="1"/>
  <c r="O82" i="7"/>
  <c r="L82" i="7"/>
  <c r="M82" i="7"/>
  <c r="N82" i="7"/>
  <c r="P82" i="7"/>
  <c r="O82" i="8"/>
  <c r="L82" i="8"/>
  <c r="M82" i="8"/>
  <c r="N82" i="8"/>
  <c r="P82" i="8"/>
  <c r="L83" i="8"/>
  <c r="M83" i="8"/>
  <c r="N83" i="8"/>
  <c r="O83" i="8"/>
  <c r="P83" i="8"/>
  <c r="L84" i="8"/>
  <c r="M84" i="8"/>
  <c r="N84" i="8"/>
  <c r="O84" i="8"/>
  <c r="P84" i="8"/>
  <c r="P80" i="8"/>
  <c r="O82" i="9"/>
  <c r="L82" i="9"/>
  <c r="M82" i="9"/>
  <c r="N82" i="9"/>
  <c r="P82" i="9"/>
  <c r="G82" i="1"/>
  <c r="O83" i="7"/>
  <c r="L83" i="7"/>
  <c r="M83" i="7"/>
  <c r="N83" i="7"/>
  <c r="P83" i="7"/>
  <c r="O83" i="9"/>
  <c r="O84" i="9"/>
  <c r="O80" i="9"/>
  <c r="L83" i="9"/>
  <c r="M83" i="9"/>
  <c r="N83" i="9"/>
  <c r="P83" i="9"/>
  <c r="G83" i="1"/>
  <c r="L84" i="9"/>
  <c r="M84" i="9"/>
  <c r="N84" i="9"/>
  <c r="P84" i="9"/>
  <c r="L84" i="7"/>
  <c r="M84" i="7"/>
  <c r="N84" i="7"/>
  <c r="O84" i="7"/>
  <c r="P84" i="7"/>
  <c r="G84" i="1"/>
  <c r="L86" i="7"/>
  <c r="M86" i="7"/>
  <c r="N86" i="7"/>
  <c r="O86" i="7"/>
  <c r="P86" i="7"/>
  <c r="G86" i="1"/>
  <c r="O115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O132" i="9"/>
  <c r="O91" i="9"/>
  <c r="L115" i="9"/>
  <c r="L116" i="9"/>
  <c r="L117" i="9"/>
  <c r="L118" i="9"/>
  <c r="L119" i="9"/>
  <c r="L120" i="9"/>
  <c r="L121" i="9"/>
  <c r="L122" i="9"/>
  <c r="L123" i="9"/>
  <c r="L124" i="9"/>
  <c r="L125" i="9"/>
  <c r="L126" i="9"/>
  <c r="L127" i="9"/>
  <c r="L128" i="9"/>
  <c r="L129" i="9"/>
  <c r="L130" i="9"/>
  <c r="M91" i="9"/>
  <c r="N115" i="9"/>
  <c r="N116" i="9"/>
  <c r="N117" i="9"/>
  <c r="N118" i="9"/>
  <c r="N119" i="9"/>
  <c r="N120" i="9"/>
  <c r="N121" i="9"/>
  <c r="N122" i="9"/>
  <c r="N123" i="9"/>
  <c r="N124" i="9"/>
  <c r="N125" i="9"/>
  <c r="N126" i="9"/>
  <c r="N127" i="9"/>
  <c r="N128" i="9"/>
  <c r="N129" i="9"/>
  <c r="N130" i="9"/>
  <c r="P91" i="7"/>
  <c r="G91" i="1"/>
  <c r="O92" i="8"/>
  <c r="L92" i="8"/>
  <c r="M92" i="8"/>
  <c r="N92" i="8"/>
  <c r="P92" i="8"/>
  <c r="P92" i="7"/>
  <c r="M92" i="9"/>
  <c r="P92" i="9"/>
  <c r="P92" i="1"/>
  <c r="G92" i="1"/>
  <c r="T92" i="1"/>
  <c r="U72" i="7"/>
  <c r="U73" i="7"/>
  <c r="S71" i="7"/>
  <c r="S72" i="7"/>
  <c r="S73" i="7"/>
  <c r="S74" i="7"/>
  <c r="U37" i="1"/>
  <c r="Q37" i="1"/>
  <c r="S37" i="1"/>
  <c r="Q71" i="1"/>
  <c r="S71" i="1"/>
  <c r="U71" i="1"/>
  <c r="U71" i="7"/>
  <c r="G167" i="8"/>
  <c r="G68" i="8"/>
  <c r="G68" i="1"/>
  <c r="G167" i="1"/>
  <c r="P167" i="8"/>
  <c r="Q167" i="1"/>
  <c r="U165" i="1"/>
  <c r="Q165" i="1"/>
  <c r="S165" i="1"/>
  <c r="Q164" i="1"/>
  <c r="Q163" i="1"/>
  <c r="Q162" i="1"/>
  <c r="Q161" i="1"/>
  <c r="G158" i="8"/>
  <c r="G53" i="8"/>
  <c r="G53" i="1"/>
  <c r="G158" i="1"/>
  <c r="Q158" i="1"/>
  <c r="Q156" i="1"/>
  <c r="Q155" i="1"/>
  <c r="U154" i="1"/>
  <c r="Q154" i="1"/>
  <c r="S154" i="1"/>
  <c r="Q153" i="1"/>
  <c r="Q152" i="1"/>
  <c r="G149" i="8"/>
  <c r="G52" i="8"/>
  <c r="G52" i="1"/>
  <c r="G149" i="1"/>
  <c r="L147" i="7"/>
  <c r="M147" i="7"/>
  <c r="N147" i="7"/>
  <c r="O147" i="7"/>
  <c r="P147" i="7"/>
  <c r="O147" i="8"/>
  <c r="L147" i="8"/>
  <c r="M147" i="8"/>
  <c r="N147" i="8"/>
  <c r="P147" i="8"/>
  <c r="O147" i="9"/>
  <c r="L147" i="9"/>
  <c r="M147" i="9"/>
  <c r="N147" i="9"/>
  <c r="Q149" i="1"/>
  <c r="U147" i="1"/>
  <c r="S147" i="1"/>
  <c r="U146" i="1"/>
  <c r="Q146" i="1"/>
  <c r="S146" i="1"/>
  <c r="U145" i="1"/>
  <c r="Q145" i="1"/>
  <c r="S145" i="1"/>
  <c r="Q144" i="1"/>
  <c r="Q143" i="1"/>
  <c r="G140" i="8"/>
  <c r="G140" i="1"/>
  <c r="P140" i="9"/>
  <c r="Q140" i="1"/>
  <c r="Q138" i="1"/>
  <c r="Q137" i="1"/>
  <c r="Q136" i="1"/>
  <c r="Q135" i="1"/>
  <c r="U134" i="1"/>
  <c r="S134" i="1"/>
  <c r="G132" i="8"/>
  <c r="G132" i="9"/>
  <c r="G132" i="1"/>
  <c r="O115" i="8"/>
  <c r="L115" i="8"/>
  <c r="M115" i="8"/>
  <c r="N115" i="8"/>
  <c r="P115" i="8"/>
  <c r="O116" i="8"/>
  <c r="L116" i="8"/>
  <c r="M116" i="8"/>
  <c r="N116" i="8"/>
  <c r="P116" i="8"/>
  <c r="T116" i="8"/>
  <c r="O117" i="8"/>
  <c r="L117" i="8"/>
  <c r="M117" i="8"/>
  <c r="N117" i="8"/>
  <c r="P117" i="8"/>
  <c r="T117" i="8"/>
  <c r="O118" i="8"/>
  <c r="L118" i="8"/>
  <c r="M118" i="8"/>
  <c r="N118" i="8"/>
  <c r="P118" i="8"/>
  <c r="O119" i="8"/>
  <c r="L119" i="8"/>
  <c r="M119" i="8"/>
  <c r="N119" i="8"/>
  <c r="O120" i="8"/>
  <c r="L120" i="8"/>
  <c r="M120" i="8"/>
  <c r="N120" i="8"/>
  <c r="P120" i="8"/>
  <c r="T120" i="8"/>
  <c r="O121" i="8"/>
  <c r="L121" i="8"/>
  <c r="M121" i="8"/>
  <c r="N121" i="8"/>
  <c r="O122" i="8"/>
  <c r="L122" i="8"/>
  <c r="M122" i="8"/>
  <c r="N122" i="8"/>
  <c r="P122" i="8"/>
  <c r="O123" i="8"/>
  <c r="L123" i="8"/>
  <c r="M123" i="8"/>
  <c r="N123" i="8"/>
  <c r="P123" i="8"/>
  <c r="O124" i="8"/>
  <c r="L124" i="8"/>
  <c r="M124" i="8"/>
  <c r="N124" i="8"/>
  <c r="O125" i="8"/>
  <c r="L125" i="8"/>
  <c r="M125" i="8"/>
  <c r="N125" i="8"/>
  <c r="P125" i="8"/>
  <c r="T125" i="8"/>
  <c r="O126" i="8"/>
  <c r="L126" i="8"/>
  <c r="M126" i="8"/>
  <c r="N126" i="8"/>
  <c r="P126" i="8"/>
  <c r="O127" i="8"/>
  <c r="L127" i="8"/>
  <c r="M127" i="8"/>
  <c r="N127" i="8"/>
  <c r="O128" i="8"/>
  <c r="L128" i="8"/>
  <c r="M128" i="8"/>
  <c r="N128" i="8"/>
  <c r="P128" i="8"/>
  <c r="O129" i="8"/>
  <c r="L129" i="8"/>
  <c r="M129" i="8"/>
  <c r="N129" i="8"/>
  <c r="O130" i="8"/>
  <c r="L130" i="8"/>
  <c r="M130" i="8"/>
  <c r="N130" i="8"/>
  <c r="P130" i="8"/>
  <c r="T130" i="8"/>
  <c r="M115" i="9"/>
  <c r="P115" i="9"/>
  <c r="M116" i="9"/>
  <c r="P116" i="9"/>
  <c r="M117" i="9"/>
  <c r="M118" i="9"/>
  <c r="P118" i="9"/>
  <c r="M119" i="9"/>
  <c r="P119" i="9"/>
  <c r="M120" i="9"/>
  <c r="P120" i="9"/>
  <c r="M121" i="9"/>
  <c r="M122" i="9"/>
  <c r="P122" i="9"/>
  <c r="M123" i="9"/>
  <c r="P123" i="9"/>
  <c r="M124" i="9"/>
  <c r="P124" i="9"/>
  <c r="M125" i="9"/>
  <c r="M126" i="9"/>
  <c r="P126" i="9"/>
  <c r="M127" i="9"/>
  <c r="P127" i="9"/>
  <c r="M128" i="9"/>
  <c r="P128" i="9"/>
  <c r="M129" i="9"/>
  <c r="M130" i="9"/>
  <c r="P130" i="9"/>
  <c r="L115" i="7"/>
  <c r="M115" i="7"/>
  <c r="N115" i="7"/>
  <c r="O115" i="7"/>
  <c r="P115" i="7"/>
  <c r="L116" i="7"/>
  <c r="M116" i="7"/>
  <c r="N116" i="7"/>
  <c r="O116" i="7"/>
  <c r="P116" i="7"/>
  <c r="L117" i="7"/>
  <c r="M117" i="7"/>
  <c r="N117" i="7"/>
  <c r="O117" i="7"/>
  <c r="L118" i="7"/>
  <c r="M118" i="7"/>
  <c r="N118" i="7"/>
  <c r="O118" i="7"/>
  <c r="P118" i="7"/>
  <c r="T118" i="7"/>
  <c r="L119" i="7"/>
  <c r="M119" i="7"/>
  <c r="N119" i="7"/>
  <c r="O119" i="7"/>
  <c r="L120" i="7"/>
  <c r="M120" i="7"/>
  <c r="N120" i="7"/>
  <c r="O120" i="7"/>
  <c r="P120" i="7"/>
  <c r="L121" i="7"/>
  <c r="M121" i="7"/>
  <c r="N121" i="7"/>
  <c r="O121" i="7"/>
  <c r="P121" i="7"/>
  <c r="L122" i="7"/>
  <c r="M122" i="7"/>
  <c r="N122" i="7"/>
  <c r="O122" i="7"/>
  <c r="L123" i="7"/>
  <c r="M123" i="7"/>
  <c r="N123" i="7"/>
  <c r="O123" i="7"/>
  <c r="P123" i="7"/>
  <c r="T123" i="7"/>
  <c r="L124" i="7"/>
  <c r="M124" i="7"/>
  <c r="N124" i="7"/>
  <c r="O124" i="7"/>
  <c r="P124" i="7"/>
  <c r="L125" i="7"/>
  <c r="M125" i="7"/>
  <c r="N125" i="7"/>
  <c r="O125" i="7"/>
  <c r="L126" i="7"/>
  <c r="M126" i="7"/>
  <c r="N126" i="7"/>
  <c r="O126" i="7"/>
  <c r="P126" i="7"/>
  <c r="T126" i="7"/>
  <c r="L127" i="7"/>
  <c r="M127" i="7"/>
  <c r="N127" i="7"/>
  <c r="O127" i="7"/>
  <c r="L128" i="7"/>
  <c r="M128" i="7"/>
  <c r="N128" i="7"/>
  <c r="O128" i="7"/>
  <c r="P128" i="7"/>
  <c r="L129" i="7"/>
  <c r="M129" i="7"/>
  <c r="N129" i="7"/>
  <c r="O129" i="7"/>
  <c r="P129" i="7"/>
  <c r="L130" i="7"/>
  <c r="M130" i="7"/>
  <c r="N130" i="7"/>
  <c r="O130" i="7"/>
  <c r="P130" i="7"/>
  <c r="T130" i="7"/>
  <c r="Q132" i="1"/>
  <c r="U130" i="1"/>
  <c r="S130" i="1"/>
  <c r="U129" i="1"/>
  <c r="S129" i="1"/>
  <c r="U128" i="1"/>
  <c r="S128" i="1"/>
  <c r="U127" i="1"/>
  <c r="S127" i="1"/>
  <c r="U126" i="1"/>
  <c r="S126" i="1"/>
  <c r="U125" i="1"/>
  <c r="S125" i="1"/>
  <c r="U124" i="1"/>
  <c r="S124" i="1"/>
  <c r="U123" i="1"/>
  <c r="S123" i="1"/>
  <c r="U122" i="1"/>
  <c r="S122" i="1"/>
  <c r="U121" i="1"/>
  <c r="S121" i="1"/>
  <c r="U120" i="1"/>
  <c r="S120" i="1"/>
  <c r="U119" i="1"/>
  <c r="S119" i="1"/>
  <c r="U118" i="1"/>
  <c r="S118" i="1"/>
  <c r="U117" i="1"/>
  <c r="S117" i="1"/>
  <c r="U116" i="1"/>
  <c r="S116" i="1"/>
  <c r="U115" i="1"/>
  <c r="S115" i="1"/>
  <c r="G109" i="8"/>
  <c r="G109" i="9"/>
  <c r="G109" i="1"/>
  <c r="U109" i="1"/>
  <c r="Q109" i="1"/>
  <c r="S109" i="1"/>
  <c r="U107" i="1"/>
  <c r="Q107" i="1"/>
  <c r="S107" i="1"/>
  <c r="U106" i="1"/>
  <c r="Q106" i="1"/>
  <c r="S106" i="1"/>
  <c r="U105" i="1"/>
  <c r="Q105" i="1"/>
  <c r="S105" i="1"/>
  <c r="U104" i="1"/>
  <c r="Q104" i="1"/>
  <c r="S104" i="1"/>
  <c r="U103" i="1"/>
  <c r="Q103" i="1"/>
  <c r="S103" i="1"/>
  <c r="U102" i="1"/>
  <c r="Q102" i="1"/>
  <c r="S102" i="1"/>
  <c r="U101" i="1"/>
  <c r="Q101" i="1"/>
  <c r="S101" i="1"/>
  <c r="U100" i="1"/>
  <c r="Q100" i="1"/>
  <c r="S100" i="1"/>
  <c r="U99" i="1"/>
  <c r="Q99" i="1"/>
  <c r="S99" i="1"/>
  <c r="G8" i="8"/>
  <c r="G76" i="8"/>
  <c r="G80" i="8"/>
  <c r="G94" i="8"/>
  <c r="G20" i="9"/>
  <c r="P80" i="7"/>
  <c r="P34" i="7"/>
  <c r="P20" i="7"/>
  <c r="P8" i="7"/>
  <c r="P45" i="7"/>
  <c r="P94" i="7"/>
  <c r="P20" i="8"/>
  <c r="P20" i="9"/>
  <c r="P8" i="9"/>
  <c r="P75" i="9"/>
  <c r="O94" i="9"/>
  <c r="M94" i="9"/>
  <c r="G94" i="1"/>
  <c r="Q94" i="1"/>
  <c r="U92" i="1"/>
  <c r="Q92" i="1"/>
  <c r="S92" i="1"/>
  <c r="Q91" i="1"/>
  <c r="U86" i="1"/>
  <c r="Q86" i="1"/>
  <c r="S86" i="1"/>
  <c r="U85" i="1"/>
  <c r="S85" i="1"/>
  <c r="U84" i="1"/>
  <c r="Q84" i="1"/>
  <c r="S84" i="1"/>
  <c r="Q83" i="1"/>
  <c r="Q82" i="1"/>
  <c r="G81" i="1"/>
  <c r="U81" i="1"/>
  <c r="Q81" i="1"/>
  <c r="S81" i="1"/>
  <c r="G80" i="9"/>
  <c r="G80" i="1"/>
  <c r="Q80" i="1"/>
  <c r="Q76" i="1"/>
  <c r="U75" i="1"/>
  <c r="S75" i="1"/>
  <c r="U74" i="1"/>
  <c r="Q74" i="1"/>
  <c r="S74" i="1"/>
  <c r="U73" i="1"/>
  <c r="Q73" i="1"/>
  <c r="S73" i="1"/>
  <c r="Q72" i="1"/>
  <c r="Q70" i="1"/>
  <c r="Q69" i="1"/>
  <c r="Q68" i="1"/>
  <c r="U67" i="1"/>
  <c r="Q67" i="1"/>
  <c r="Q66" i="1"/>
  <c r="Q65" i="1"/>
  <c r="Q64" i="1"/>
  <c r="Q63" i="1"/>
  <c r="Q62" i="1"/>
  <c r="Q61" i="1"/>
  <c r="Q60" i="1"/>
  <c r="Q59" i="1"/>
  <c r="U58" i="1"/>
  <c r="Q58" i="1"/>
  <c r="S58" i="1"/>
  <c r="Q57" i="1"/>
  <c r="Q56" i="1"/>
  <c r="U55" i="1"/>
  <c r="Q55" i="1"/>
  <c r="S55" i="1"/>
  <c r="Q54" i="1"/>
  <c r="Q53" i="1"/>
  <c r="Q52" i="1"/>
  <c r="Q51" i="1"/>
  <c r="Q50" i="1"/>
  <c r="Q49" i="1"/>
  <c r="Q48" i="1"/>
  <c r="Q45" i="1"/>
  <c r="U43" i="1"/>
  <c r="Q43" i="1"/>
  <c r="S43" i="1"/>
  <c r="U42" i="1"/>
  <c r="Q42" i="1"/>
  <c r="S42" i="1"/>
  <c r="U41" i="1"/>
  <c r="Q41" i="1"/>
  <c r="S41" i="1"/>
  <c r="U40" i="1"/>
  <c r="Q40" i="1"/>
  <c r="S40" i="1"/>
  <c r="U39" i="1"/>
  <c r="Q39" i="1"/>
  <c r="S39" i="1"/>
  <c r="Q38" i="1"/>
  <c r="U36" i="1"/>
  <c r="Q36" i="1"/>
  <c r="S36" i="1"/>
  <c r="Q35" i="1"/>
  <c r="Q34" i="1"/>
  <c r="Q31" i="1"/>
  <c r="S31" i="1"/>
  <c r="Q30" i="1"/>
  <c r="S30" i="1"/>
  <c r="Q29" i="1"/>
  <c r="S29" i="1"/>
  <c r="U28" i="1"/>
  <c r="Q28" i="1"/>
  <c r="S28" i="1"/>
  <c r="U27" i="1"/>
  <c r="Q27" i="1"/>
  <c r="S27" i="1"/>
  <c r="Q26" i="1"/>
  <c r="U25" i="1"/>
  <c r="Q25" i="1"/>
  <c r="S25" i="1"/>
  <c r="U24" i="1"/>
  <c r="Q24" i="1"/>
  <c r="S24" i="1"/>
  <c r="U23" i="1"/>
  <c r="Q23" i="1"/>
  <c r="S23" i="1"/>
  <c r="Q22" i="1"/>
  <c r="U21" i="1"/>
  <c r="Q21" i="1"/>
  <c r="S21" i="1"/>
  <c r="P20" i="1"/>
  <c r="Q20" i="1"/>
  <c r="S20" i="1"/>
  <c r="U17" i="1"/>
  <c r="U16" i="1"/>
  <c r="Q16" i="1"/>
  <c r="S16" i="1"/>
  <c r="U15" i="1"/>
  <c r="Q15" i="1"/>
  <c r="S15" i="1"/>
  <c r="Q14" i="1"/>
  <c r="U13" i="1"/>
  <c r="Q13" i="1"/>
  <c r="S13" i="1"/>
  <c r="Q12" i="1"/>
  <c r="U11" i="1"/>
  <c r="Q11" i="1"/>
  <c r="S11" i="1"/>
  <c r="Q10" i="1"/>
  <c r="Q9" i="1"/>
  <c r="Q8" i="1"/>
  <c r="T161" i="7"/>
  <c r="T162" i="7"/>
  <c r="T163" i="7"/>
  <c r="T164" i="7"/>
  <c r="T165" i="7"/>
  <c r="T167" i="7"/>
  <c r="U165" i="7"/>
  <c r="S165" i="7"/>
  <c r="U164" i="7"/>
  <c r="S164" i="7"/>
  <c r="U163" i="7"/>
  <c r="S163" i="7"/>
  <c r="U162" i="7"/>
  <c r="S162" i="7"/>
  <c r="U161" i="7"/>
  <c r="S161" i="7"/>
  <c r="U158" i="7"/>
  <c r="T152" i="7"/>
  <c r="T153" i="7"/>
  <c r="T154" i="7"/>
  <c r="T155" i="7"/>
  <c r="S158" i="7"/>
  <c r="U156" i="7"/>
  <c r="S156" i="7"/>
  <c r="U155" i="7"/>
  <c r="S155" i="7"/>
  <c r="U154" i="7"/>
  <c r="S154" i="7"/>
  <c r="U153" i="7"/>
  <c r="S153" i="7"/>
  <c r="U152" i="7"/>
  <c r="S152" i="7"/>
  <c r="T145" i="7"/>
  <c r="T147" i="7"/>
  <c r="U147" i="7"/>
  <c r="S147" i="7"/>
  <c r="U146" i="7"/>
  <c r="S146" i="7"/>
  <c r="U145" i="7"/>
  <c r="S145" i="7"/>
  <c r="U144" i="7"/>
  <c r="S144" i="7"/>
  <c r="T134" i="7"/>
  <c r="T136" i="7"/>
  <c r="T138" i="7"/>
  <c r="U138" i="7"/>
  <c r="S138" i="7"/>
  <c r="U136" i="7"/>
  <c r="S136" i="7"/>
  <c r="S135" i="7"/>
  <c r="U134" i="7"/>
  <c r="S134" i="7"/>
  <c r="U132" i="7"/>
  <c r="T116" i="7"/>
  <c r="T121" i="7"/>
  <c r="T124" i="7"/>
  <c r="T128" i="7"/>
  <c r="T129" i="7"/>
  <c r="S132" i="7"/>
  <c r="U130" i="7"/>
  <c r="S130" i="7"/>
  <c r="U129" i="7"/>
  <c r="S129" i="7"/>
  <c r="U128" i="7"/>
  <c r="S128" i="7"/>
  <c r="U127" i="7"/>
  <c r="S127" i="7"/>
  <c r="U126" i="7"/>
  <c r="S126" i="7"/>
  <c r="U125" i="7"/>
  <c r="S125" i="7"/>
  <c r="U124" i="7"/>
  <c r="S124" i="7"/>
  <c r="U123" i="7"/>
  <c r="S123" i="7"/>
  <c r="U122" i="7"/>
  <c r="S122" i="7"/>
  <c r="U121" i="7"/>
  <c r="S121" i="7"/>
  <c r="U120" i="7"/>
  <c r="S120" i="7"/>
  <c r="U119" i="7"/>
  <c r="S119" i="7"/>
  <c r="U118" i="7"/>
  <c r="S118" i="7"/>
  <c r="U117" i="7"/>
  <c r="S117" i="7"/>
  <c r="U116" i="7"/>
  <c r="S116" i="7"/>
  <c r="U115" i="7"/>
  <c r="S115" i="7"/>
  <c r="P109" i="7"/>
  <c r="U109" i="7"/>
  <c r="T99" i="7"/>
  <c r="T100" i="7"/>
  <c r="T101" i="7"/>
  <c r="T102" i="7"/>
  <c r="T103" i="7"/>
  <c r="T104" i="7"/>
  <c r="T105" i="7"/>
  <c r="T106" i="7"/>
  <c r="T107" i="7"/>
  <c r="T109" i="7"/>
  <c r="S109" i="7"/>
  <c r="U107" i="7"/>
  <c r="S107" i="7"/>
  <c r="U106" i="7"/>
  <c r="S106" i="7"/>
  <c r="U105" i="7"/>
  <c r="S105" i="7"/>
  <c r="U104" i="7"/>
  <c r="S104" i="7"/>
  <c r="U103" i="7"/>
  <c r="S103" i="7"/>
  <c r="U102" i="7"/>
  <c r="S102" i="7"/>
  <c r="U101" i="7"/>
  <c r="S101" i="7"/>
  <c r="U100" i="7"/>
  <c r="S100" i="7"/>
  <c r="U99" i="7"/>
  <c r="S99" i="7"/>
  <c r="T9" i="7"/>
  <c r="T10" i="7"/>
  <c r="T11" i="7"/>
  <c r="T12" i="7"/>
  <c r="T13" i="7"/>
  <c r="T14" i="7"/>
  <c r="T15" i="7"/>
  <c r="T16" i="7"/>
  <c r="T17" i="7"/>
  <c r="T8" i="7"/>
  <c r="T21" i="7"/>
  <c r="T22" i="7"/>
  <c r="T23" i="7"/>
  <c r="T24" i="7"/>
  <c r="T25" i="7"/>
  <c r="T26" i="7"/>
  <c r="T27" i="7"/>
  <c r="T28" i="7"/>
  <c r="T29" i="7"/>
  <c r="T30" i="7"/>
  <c r="T31" i="7"/>
  <c r="T35" i="7"/>
  <c r="T36" i="7"/>
  <c r="T38" i="7"/>
  <c r="T39" i="7"/>
  <c r="T40" i="7"/>
  <c r="T41" i="7"/>
  <c r="T42" i="7"/>
  <c r="T43" i="7"/>
  <c r="T48" i="7"/>
  <c r="T49" i="7"/>
  <c r="T50" i="7"/>
  <c r="T51" i="7"/>
  <c r="T53" i="7"/>
  <c r="T55" i="7"/>
  <c r="T56" i="7"/>
  <c r="T58" i="7"/>
  <c r="T59" i="7"/>
  <c r="T60" i="7"/>
  <c r="T61" i="7"/>
  <c r="T63" i="7"/>
  <c r="T64" i="7"/>
  <c r="T65" i="7"/>
  <c r="T66" i="7"/>
  <c r="T67" i="7"/>
  <c r="T69" i="7"/>
  <c r="T73" i="7"/>
  <c r="T74" i="7"/>
  <c r="T86" i="7"/>
  <c r="T92" i="7"/>
  <c r="U94" i="7"/>
  <c r="S94" i="7"/>
  <c r="U92" i="7"/>
  <c r="S92" i="7"/>
  <c r="U91" i="7"/>
  <c r="S91" i="7"/>
  <c r="U86" i="7"/>
  <c r="S86" i="7"/>
  <c r="U85" i="7"/>
  <c r="S85" i="7"/>
  <c r="U84" i="7"/>
  <c r="T84" i="7"/>
  <c r="S84" i="7"/>
  <c r="U83" i="7"/>
  <c r="T83" i="7"/>
  <c r="S83" i="7"/>
  <c r="U82" i="7"/>
  <c r="T82" i="7"/>
  <c r="S82" i="7"/>
  <c r="U81" i="7"/>
  <c r="S81" i="7"/>
  <c r="U80" i="7"/>
  <c r="T80" i="7"/>
  <c r="S80" i="7"/>
  <c r="U75" i="7"/>
  <c r="S75" i="7"/>
  <c r="U74" i="7"/>
  <c r="U69" i="7"/>
  <c r="S69" i="7"/>
  <c r="U67" i="7"/>
  <c r="S67" i="7"/>
  <c r="U66" i="7"/>
  <c r="S66" i="7"/>
  <c r="U65" i="7"/>
  <c r="S65" i="7"/>
  <c r="U64" i="7"/>
  <c r="S64" i="7"/>
  <c r="S63" i="7"/>
  <c r="U62" i="7"/>
  <c r="S62" i="7"/>
  <c r="U61" i="7"/>
  <c r="S61" i="7"/>
  <c r="U60" i="7"/>
  <c r="S60" i="7"/>
  <c r="U59" i="7"/>
  <c r="S59" i="7"/>
  <c r="U58" i="7"/>
  <c r="S58" i="7"/>
  <c r="U57" i="7"/>
  <c r="S57" i="7"/>
  <c r="U56" i="7"/>
  <c r="S56" i="7"/>
  <c r="U55" i="7"/>
  <c r="S55" i="7"/>
  <c r="U53" i="7"/>
  <c r="S53" i="7"/>
  <c r="U51" i="7"/>
  <c r="S51" i="7"/>
  <c r="U50" i="7"/>
  <c r="S50" i="7"/>
  <c r="U49" i="7"/>
  <c r="S49" i="7"/>
  <c r="U48" i="7"/>
  <c r="S48" i="7"/>
  <c r="S45" i="7"/>
  <c r="U43" i="7"/>
  <c r="S43" i="7"/>
  <c r="U42" i="7"/>
  <c r="S42" i="7"/>
  <c r="U41" i="7"/>
  <c r="S41" i="7"/>
  <c r="U40" i="7"/>
  <c r="S40" i="7"/>
  <c r="U39" i="7"/>
  <c r="S39" i="7"/>
  <c r="U38" i="7"/>
  <c r="S38" i="7"/>
  <c r="U36" i="7"/>
  <c r="S36" i="7"/>
  <c r="U35" i="7"/>
  <c r="S35" i="7"/>
  <c r="U34" i="7"/>
  <c r="S34" i="7"/>
  <c r="S31" i="7"/>
  <c r="S30" i="7"/>
  <c r="S29" i="7"/>
  <c r="U28" i="7"/>
  <c r="S28" i="7"/>
  <c r="U27" i="7"/>
  <c r="S27" i="7"/>
  <c r="U26" i="7"/>
  <c r="S26" i="7"/>
  <c r="U25" i="7"/>
  <c r="S25" i="7"/>
  <c r="U24" i="7"/>
  <c r="S24" i="7"/>
  <c r="U23" i="7"/>
  <c r="S23" i="7"/>
  <c r="U22" i="7"/>
  <c r="S22" i="7"/>
  <c r="U21" i="7"/>
  <c r="S21" i="7"/>
  <c r="U20" i="7"/>
  <c r="S20" i="7"/>
  <c r="U17" i="7"/>
  <c r="U16" i="7"/>
  <c r="S16" i="7"/>
  <c r="U15" i="7"/>
  <c r="S15" i="7"/>
  <c r="U14" i="7"/>
  <c r="S14" i="7"/>
  <c r="U13" i="7"/>
  <c r="S13" i="7"/>
  <c r="U12" i="7"/>
  <c r="S12" i="7"/>
  <c r="U11" i="7"/>
  <c r="S11" i="7"/>
  <c r="U10" i="7"/>
  <c r="S10" i="7"/>
  <c r="U9" i="7"/>
  <c r="S9" i="7"/>
  <c r="U8" i="7"/>
  <c r="S8" i="7"/>
  <c r="U167" i="8"/>
  <c r="T161" i="8"/>
  <c r="T162" i="8"/>
  <c r="T163" i="8"/>
  <c r="T164" i="8"/>
  <c r="T165" i="8"/>
  <c r="S167" i="8"/>
  <c r="U165" i="8"/>
  <c r="S165" i="8"/>
  <c r="U164" i="8"/>
  <c r="S164" i="8"/>
  <c r="U163" i="8"/>
  <c r="S163" i="8"/>
  <c r="U162" i="8"/>
  <c r="S162" i="8"/>
  <c r="U161" i="8"/>
  <c r="S161" i="8"/>
  <c r="T152" i="8"/>
  <c r="T154" i="8"/>
  <c r="T156" i="8"/>
  <c r="U156" i="8"/>
  <c r="S156" i="8"/>
  <c r="U155" i="8"/>
  <c r="U154" i="8"/>
  <c r="S154" i="8"/>
  <c r="U152" i="8"/>
  <c r="S152" i="8"/>
  <c r="T143" i="8"/>
  <c r="T144" i="8"/>
  <c r="T145" i="8"/>
  <c r="T146" i="8"/>
  <c r="T147" i="8"/>
  <c r="S147" i="8"/>
  <c r="U146" i="8"/>
  <c r="S146" i="8"/>
  <c r="U145" i="8"/>
  <c r="S145" i="8"/>
  <c r="U144" i="8"/>
  <c r="S144" i="8"/>
  <c r="U143" i="8"/>
  <c r="S143" i="8"/>
  <c r="T134" i="8"/>
  <c r="T136" i="8"/>
  <c r="T138" i="8"/>
  <c r="U138" i="8"/>
  <c r="S138" i="8"/>
  <c r="U137" i="8"/>
  <c r="S137" i="8"/>
  <c r="U136" i="8"/>
  <c r="S136" i="8"/>
  <c r="U134" i="8"/>
  <c r="S134" i="8"/>
  <c r="T115" i="8"/>
  <c r="T118" i="8"/>
  <c r="T123" i="8"/>
  <c r="T126" i="8"/>
  <c r="U130" i="8"/>
  <c r="S130" i="8"/>
  <c r="U129" i="8"/>
  <c r="U128" i="8"/>
  <c r="U127" i="8"/>
  <c r="S127" i="8"/>
  <c r="U126" i="8"/>
  <c r="S126" i="8"/>
  <c r="U125" i="8"/>
  <c r="S125" i="8"/>
  <c r="S124" i="8"/>
  <c r="U123" i="8"/>
  <c r="S123" i="8"/>
  <c r="S122" i="8"/>
  <c r="U121" i="8"/>
  <c r="S121" i="8"/>
  <c r="U120" i="8"/>
  <c r="S120" i="8"/>
  <c r="U119" i="8"/>
  <c r="S119" i="8"/>
  <c r="U118" i="8"/>
  <c r="S118" i="8"/>
  <c r="U117" i="8"/>
  <c r="S117" i="8"/>
  <c r="U116" i="8"/>
  <c r="S116" i="8"/>
  <c r="U115" i="8"/>
  <c r="S115" i="8"/>
  <c r="T99" i="8"/>
  <c r="T101" i="8"/>
  <c r="T102" i="8"/>
  <c r="T103" i="8"/>
  <c r="T104" i="8"/>
  <c r="T105" i="8"/>
  <c r="T106" i="8"/>
  <c r="T107" i="8"/>
  <c r="U107" i="8"/>
  <c r="S107" i="8"/>
  <c r="U106" i="8"/>
  <c r="S106" i="8"/>
  <c r="U105" i="8"/>
  <c r="S105" i="8"/>
  <c r="U104" i="8"/>
  <c r="S104" i="8"/>
  <c r="U103" i="8"/>
  <c r="S103" i="8"/>
  <c r="U102" i="8"/>
  <c r="S102" i="8"/>
  <c r="U101" i="8"/>
  <c r="S101" i="8"/>
  <c r="U100" i="8"/>
  <c r="S100" i="8"/>
  <c r="U99" i="8"/>
  <c r="S99" i="8"/>
  <c r="T10" i="8"/>
  <c r="T11" i="8"/>
  <c r="T12" i="8"/>
  <c r="T13" i="8"/>
  <c r="T14" i="8"/>
  <c r="T15" i="8"/>
  <c r="T16" i="8"/>
  <c r="T17" i="8"/>
  <c r="T21" i="8"/>
  <c r="T22" i="8"/>
  <c r="T23" i="8"/>
  <c r="T24" i="8"/>
  <c r="T25" i="8"/>
  <c r="T26" i="8"/>
  <c r="T27" i="8"/>
  <c r="T28" i="8"/>
  <c r="T29" i="8"/>
  <c r="T30" i="8"/>
  <c r="T31" i="8"/>
  <c r="T35" i="8"/>
  <c r="T36" i="8"/>
  <c r="T39" i="8"/>
  <c r="T40" i="8"/>
  <c r="T41" i="8"/>
  <c r="T42" i="8"/>
  <c r="T43" i="8"/>
  <c r="T48" i="8"/>
  <c r="T50" i="8"/>
  <c r="T52" i="8"/>
  <c r="T53" i="8"/>
  <c r="T54" i="8"/>
  <c r="T55" i="8"/>
  <c r="T56" i="8"/>
  <c r="T57" i="8"/>
  <c r="T58" i="8"/>
  <c r="T59" i="8"/>
  <c r="T61" i="8"/>
  <c r="T62" i="8"/>
  <c r="T64" i="8"/>
  <c r="T66" i="8"/>
  <c r="T69" i="8"/>
  <c r="T72" i="8"/>
  <c r="T92" i="8"/>
  <c r="U92" i="8"/>
  <c r="S92" i="8"/>
  <c r="U91" i="8"/>
  <c r="S91" i="8"/>
  <c r="U86" i="8"/>
  <c r="S86" i="8"/>
  <c r="U85" i="8"/>
  <c r="S85" i="8"/>
  <c r="U84" i="8"/>
  <c r="T84" i="8"/>
  <c r="S84" i="8"/>
  <c r="U83" i="8"/>
  <c r="T83" i="8"/>
  <c r="S83" i="8"/>
  <c r="U82" i="8"/>
  <c r="T82" i="8"/>
  <c r="T80" i="8"/>
  <c r="S82" i="8"/>
  <c r="U81" i="8"/>
  <c r="S81" i="8"/>
  <c r="U80" i="8"/>
  <c r="U75" i="8"/>
  <c r="S75" i="8"/>
  <c r="U74" i="8"/>
  <c r="S74" i="8"/>
  <c r="U73" i="8"/>
  <c r="S73" i="8"/>
  <c r="U72" i="8"/>
  <c r="S72" i="8"/>
  <c r="U70" i="8"/>
  <c r="S70" i="8"/>
  <c r="U69" i="8"/>
  <c r="S69" i="8"/>
  <c r="U67" i="8"/>
  <c r="S67" i="8"/>
  <c r="U66" i="8"/>
  <c r="S66" i="8"/>
  <c r="U65" i="8"/>
  <c r="S65" i="8"/>
  <c r="U64" i="8"/>
  <c r="S64" i="8"/>
  <c r="U63" i="8"/>
  <c r="S63" i="8"/>
  <c r="U62" i="8"/>
  <c r="S62" i="8"/>
  <c r="U61" i="8"/>
  <c r="S61" i="8"/>
  <c r="U60" i="8"/>
  <c r="S60" i="8"/>
  <c r="U59" i="8"/>
  <c r="S59" i="8"/>
  <c r="U58" i="8"/>
  <c r="S58" i="8"/>
  <c r="U57" i="8"/>
  <c r="S57" i="8"/>
  <c r="U56" i="8"/>
  <c r="S56" i="8"/>
  <c r="U55" i="8"/>
  <c r="S55" i="8"/>
  <c r="U54" i="8"/>
  <c r="S54" i="8"/>
  <c r="U53" i="8"/>
  <c r="S53" i="8"/>
  <c r="U52" i="8"/>
  <c r="S52" i="8"/>
  <c r="U50" i="8"/>
  <c r="S50" i="8"/>
  <c r="U49" i="8"/>
  <c r="S49" i="8"/>
  <c r="U48" i="8"/>
  <c r="S48" i="8"/>
  <c r="U43" i="8"/>
  <c r="S43" i="8"/>
  <c r="U42" i="8"/>
  <c r="S42" i="8"/>
  <c r="U41" i="8"/>
  <c r="S41" i="8"/>
  <c r="U40" i="8"/>
  <c r="S40" i="8"/>
  <c r="U39" i="8"/>
  <c r="S39" i="8"/>
  <c r="U38" i="8"/>
  <c r="S38" i="8"/>
  <c r="U36" i="8"/>
  <c r="S36" i="8"/>
  <c r="U35" i="8"/>
  <c r="S35" i="8"/>
  <c r="S34" i="8"/>
  <c r="S31" i="8"/>
  <c r="S30" i="8"/>
  <c r="S29" i="8"/>
  <c r="U28" i="8"/>
  <c r="S28" i="8"/>
  <c r="U27" i="8"/>
  <c r="S27" i="8"/>
  <c r="U26" i="8"/>
  <c r="S26" i="8"/>
  <c r="U25" i="8"/>
  <c r="S25" i="8"/>
  <c r="U24" i="8"/>
  <c r="S24" i="8"/>
  <c r="U23" i="8"/>
  <c r="S23" i="8"/>
  <c r="U22" i="8"/>
  <c r="S22" i="8"/>
  <c r="U21" i="8"/>
  <c r="S21" i="8"/>
  <c r="S20" i="8"/>
  <c r="U17" i="8"/>
  <c r="U16" i="8"/>
  <c r="S16" i="8"/>
  <c r="U15" i="8"/>
  <c r="S15" i="8"/>
  <c r="U14" i="8"/>
  <c r="S14" i="8"/>
  <c r="U13" i="8"/>
  <c r="S13" i="8"/>
  <c r="U12" i="8"/>
  <c r="S12" i="8"/>
  <c r="U11" i="8"/>
  <c r="S11" i="8"/>
  <c r="U10" i="8"/>
  <c r="S10" i="8"/>
  <c r="U165" i="9"/>
  <c r="U164" i="9"/>
  <c r="U163" i="9"/>
  <c r="U161" i="9"/>
  <c r="U156" i="9"/>
  <c r="U155" i="9"/>
  <c r="U154" i="9"/>
  <c r="U152" i="9"/>
  <c r="U147" i="9"/>
  <c r="U146" i="9"/>
  <c r="U145" i="9"/>
  <c r="U143" i="9"/>
  <c r="U140" i="9"/>
  <c r="U138" i="9"/>
  <c r="U137" i="9"/>
  <c r="U136" i="9"/>
  <c r="U135" i="9"/>
  <c r="U134" i="9"/>
  <c r="U130" i="9"/>
  <c r="U128" i="9"/>
  <c r="U127" i="9"/>
  <c r="U126" i="9"/>
  <c r="U124" i="9"/>
  <c r="U123" i="9"/>
  <c r="U122" i="9"/>
  <c r="U121" i="9"/>
  <c r="U120" i="9"/>
  <c r="U119" i="9"/>
  <c r="U118" i="9"/>
  <c r="U117" i="9"/>
  <c r="U116" i="9"/>
  <c r="U115" i="9"/>
  <c r="U107" i="9"/>
  <c r="U106" i="9"/>
  <c r="U105" i="9"/>
  <c r="U104" i="9"/>
  <c r="U103" i="9"/>
  <c r="U102" i="9"/>
  <c r="U101" i="9"/>
  <c r="U100" i="9"/>
  <c r="U99" i="9"/>
  <c r="U92" i="9"/>
  <c r="U86" i="9"/>
  <c r="U85" i="9"/>
  <c r="U84" i="9"/>
  <c r="U83" i="9"/>
  <c r="U82" i="9"/>
  <c r="U81" i="9"/>
  <c r="U80" i="9"/>
  <c r="U75" i="9"/>
  <c r="U74" i="9"/>
  <c r="U73" i="9"/>
  <c r="U70" i="9"/>
  <c r="U69" i="9"/>
  <c r="U68" i="9"/>
  <c r="U67" i="9"/>
  <c r="U66" i="9"/>
  <c r="U64" i="9"/>
  <c r="U63" i="9"/>
  <c r="U60" i="9"/>
  <c r="U59" i="9"/>
  <c r="U58" i="9"/>
  <c r="U57" i="9"/>
  <c r="U56" i="9"/>
  <c r="U55" i="9"/>
  <c r="U54" i="9"/>
  <c r="U53" i="9"/>
  <c r="U51" i="9"/>
  <c r="U50" i="9"/>
  <c r="U49" i="9"/>
  <c r="U48" i="9"/>
  <c r="U43" i="9"/>
  <c r="U42" i="9"/>
  <c r="U41" i="9"/>
  <c r="U40" i="9"/>
  <c r="U39" i="9"/>
  <c r="U38" i="9"/>
  <c r="U36" i="9"/>
  <c r="U35" i="9"/>
  <c r="U28" i="9"/>
  <c r="U27" i="9"/>
  <c r="U25" i="9"/>
  <c r="U22" i="9"/>
  <c r="U17" i="9"/>
  <c r="U16" i="9"/>
  <c r="U15" i="9"/>
  <c r="U14" i="9"/>
  <c r="U13" i="9"/>
  <c r="U12" i="9"/>
  <c r="U11" i="9"/>
  <c r="U10" i="9"/>
  <c r="U9" i="9"/>
  <c r="U26" i="9"/>
  <c r="T161" i="9"/>
  <c r="T163" i="9"/>
  <c r="T164" i="9"/>
  <c r="T165" i="9"/>
  <c r="T152" i="9"/>
  <c r="T154" i="9"/>
  <c r="T155" i="9"/>
  <c r="T156" i="9"/>
  <c r="T143" i="9"/>
  <c r="T145" i="9"/>
  <c r="T135" i="9"/>
  <c r="T136" i="9"/>
  <c r="T137" i="9"/>
  <c r="T138" i="9"/>
  <c r="T115" i="9"/>
  <c r="T116" i="9"/>
  <c r="T118" i="9"/>
  <c r="T119" i="9"/>
  <c r="T120" i="9"/>
  <c r="T122" i="9"/>
  <c r="T123" i="9"/>
  <c r="T124" i="9"/>
  <c r="T126" i="9"/>
  <c r="T127" i="9"/>
  <c r="T128" i="9"/>
  <c r="T130" i="9"/>
  <c r="T99" i="9"/>
  <c r="T100" i="9"/>
  <c r="T101" i="9"/>
  <c r="T103" i="9"/>
  <c r="T105" i="9"/>
  <c r="T106" i="9"/>
  <c r="T107" i="9"/>
  <c r="T9" i="9"/>
  <c r="T10" i="9"/>
  <c r="T11" i="9"/>
  <c r="T12" i="9"/>
  <c r="T13" i="9"/>
  <c r="T14" i="9"/>
  <c r="T15" i="9"/>
  <c r="T16" i="9"/>
  <c r="T17" i="9"/>
  <c r="T23" i="9"/>
  <c r="T21" i="9"/>
  <c r="T22" i="9"/>
  <c r="T24" i="9"/>
  <c r="T25" i="9"/>
  <c r="T26" i="9"/>
  <c r="T27" i="9"/>
  <c r="T28" i="9"/>
  <c r="T29" i="9"/>
  <c r="T30" i="9"/>
  <c r="T31" i="9"/>
  <c r="T35" i="9"/>
  <c r="T36" i="9"/>
  <c r="T38" i="9"/>
  <c r="T39" i="9"/>
  <c r="T40" i="9"/>
  <c r="T41" i="9"/>
  <c r="T49" i="9"/>
  <c r="T50" i="9"/>
  <c r="T51" i="9"/>
  <c r="T53" i="9"/>
  <c r="T54" i="9"/>
  <c r="T55" i="9"/>
  <c r="T56" i="9"/>
  <c r="T57" i="9"/>
  <c r="T58" i="9"/>
  <c r="T59" i="9"/>
  <c r="T60" i="9"/>
  <c r="T64" i="9"/>
  <c r="T68" i="9"/>
  <c r="T69" i="9"/>
  <c r="T70" i="9"/>
  <c r="T73" i="9"/>
  <c r="T92" i="9"/>
  <c r="T82" i="9"/>
  <c r="U24" i="9"/>
  <c r="U23" i="9"/>
  <c r="U21" i="9"/>
  <c r="U20" i="9"/>
  <c r="S165" i="9"/>
  <c r="S164" i="9"/>
  <c r="S163" i="9"/>
  <c r="S161" i="9"/>
  <c r="S156" i="9"/>
  <c r="S155" i="9"/>
  <c r="S154" i="9"/>
  <c r="S152" i="9"/>
  <c r="S146" i="9"/>
  <c r="S145" i="9"/>
  <c r="S143" i="9"/>
  <c r="S140" i="9"/>
  <c r="S138" i="9"/>
  <c r="S137" i="9"/>
  <c r="S136" i="9"/>
  <c r="S135" i="9"/>
  <c r="S134" i="9"/>
  <c r="S130" i="9"/>
  <c r="S129" i="9"/>
  <c r="S128" i="9"/>
  <c r="S127" i="9"/>
  <c r="S126" i="9"/>
  <c r="S125" i="9"/>
  <c r="S124" i="9"/>
  <c r="S123" i="9"/>
  <c r="S122" i="9"/>
  <c r="S121" i="9"/>
  <c r="S120" i="9"/>
  <c r="S119" i="9"/>
  <c r="S118" i="9"/>
  <c r="S116" i="9"/>
  <c r="S115" i="9"/>
  <c r="S107" i="9"/>
  <c r="S106" i="9"/>
  <c r="S105" i="9"/>
  <c r="S104" i="9"/>
  <c r="S103" i="9"/>
  <c r="S102" i="9"/>
  <c r="S101" i="9"/>
  <c r="S100" i="9"/>
  <c r="S99" i="9"/>
  <c r="S92" i="9"/>
  <c r="S86" i="9"/>
  <c r="S85" i="9"/>
  <c r="S84" i="9"/>
  <c r="S83" i="9"/>
  <c r="S82" i="9"/>
  <c r="S81" i="9"/>
  <c r="S80" i="9"/>
  <c r="S75" i="9"/>
  <c r="S74" i="9"/>
  <c r="S73" i="9"/>
  <c r="S70" i="9"/>
  <c r="S69" i="9"/>
  <c r="S68" i="9"/>
  <c r="S67" i="9"/>
  <c r="S66" i="9"/>
  <c r="S64" i="9"/>
  <c r="S63" i="9"/>
  <c r="S60" i="9"/>
  <c r="S59" i="9"/>
  <c r="S58" i="9"/>
  <c r="S57" i="9"/>
  <c r="S56" i="9"/>
  <c r="S55" i="9"/>
  <c r="S54" i="9"/>
  <c r="S53" i="9"/>
  <c r="S51" i="9"/>
  <c r="S50" i="9"/>
  <c r="S49" i="9"/>
  <c r="S48" i="9"/>
  <c r="S43" i="9"/>
  <c r="S42" i="9"/>
  <c r="S41" i="9"/>
  <c r="S40" i="9"/>
  <c r="S39" i="9"/>
  <c r="S38" i="9"/>
  <c r="S36" i="9"/>
  <c r="S35" i="9"/>
  <c r="S34" i="9"/>
  <c r="S31" i="9"/>
  <c r="S30" i="9"/>
  <c r="S29" i="9"/>
  <c r="S28" i="9"/>
  <c r="S27" i="9"/>
  <c r="S26" i="9"/>
  <c r="S25" i="9"/>
  <c r="S24" i="9"/>
  <c r="S23" i="9"/>
  <c r="S22" i="9"/>
  <c r="S21" i="9"/>
  <c r="S20" i="9"/>
  <c r="S16" i="9"/>
  <c r="S15" i="9"/>
  <c r="S14" i="9"/>
  <c r="S13" i="9"/>
  <c r="S12" i="9"/>
  <c r="S11" i="9"/>
  <c r="S9" i="9"/>
  <c r="S10" i="9"/>
  <c r="S8" i="9"/>
  <c r="R26" i="9"/>
  <c r="R21" i="9"/>
  <c r="R22" i="9"/>
  <c r="R23" i="9"/>
  <c r="R24" i="9"/>
  <c r="R25" i="9"/>
  <c r="R27" i="9"/>
  <c r="R28" i="9"/>
  <c r="R29" i="9"/>
  <c r="R30" i="9"/>
  <c r="R31" i="9"/>
  <c r="R20" i="9"/>
  <c r="H7" i="15"/>
  <c r="L8" i="9"/>
  <c r="L20" i="9"/>
  <c r="L34" i="9"/>
  <c r="L80" i="9"/>
  <c r="H16" i="15"/>
  <c r="H21" i="15"/>
  <c r="H23" i="15"/>
  <c r="M8" i="9"/>
  <c r="M20" i="9"/>
  <c r="M34" i="9"/>
  <c r="M80" i="9"/>
  <c r="M132" i="9"/>
  <c r="I11" i="15"/>
  <c r="I21" i="15"/>
  <c r="N8" i="9"/>
  <c r="N20" i="9"/>
  <c r="N34" i="9"/>
  <c r="N45" i="9"/>
  <c r="N80" i="9"/>
  <c r="J21" i="15"/>
  <c r="J23" i="15"/>
  <c r="M7" i="15"/>
  <c r="O7" i="15"/>
  <c r="O20" i="9"/>
  <c r="O8" i="9"/>
  <c r="O34" i="9"/>
  <c r="O45" i="9"/>
  <c r="O78" i="9"/>
  <c r="O88" i="9"/>
  <c r="K11" i="15"/>
  <c r="M11" i="15"/>
  <c r="N13" i="15"/>
  <c r="O13" i="15"/>
  <c r="L19" i="15"/>
  <c r="L20" i="15"/>
  <c r="N20" i="15"/>
  <c r="O20" i="15"/>
  <c r="K21" i="15"/>
  <c r="K23" i="15"/>
  <c r="M23" i="15"/>
  <c r="G29" i="15"/>
  <c r="G30" i="15"/>
  <c r="H29" i="15"/>
  <c r="I29" i="15"/>
  <c r="J29" i="15"/>
  <c r="K29" i="15"/>
  <c r="L29" i="15"/>
  <c r="M29" i="15"/>
  <c r="M15" i="12"/>
  <c r="N15" i="12"/>
  <c r="M22" i="12"/>
  <c r="N22" i="12"/>
  <c r="M29" i="12"/>
  <c r="N29" i="12"/>
  <c r="M31" i="12"/>
  <c r="N31" i="12"/>
  <c r="M37" i="12"/>
  <c r="N37" i="12"/>
  <c r="M43" i="12"/>
  <c r="N43" i="12"/>
  <c r="M55" i="12"/>
  <c r="N55" i="12"/>
  <c r="G8" i="9"/>
  <c r="G34" i="9"/>
  <c r="G45" i="9"/>
  <c r="R9" i="9"/>
  <c r="R10" i="9"/>
  <c r="R11" i="9"/>
  <c r="R12" i="9"/>
  <c r="R13" i="9"/>
  <c r="R14" i="9"/>
  <c r="R15" i="9"/>
  <c r="R16" i="9"/>
  <c r="R17" i="9"/>
  <c r="U34" i="9"/>
  <c r="R35" i="9"/>
  <c r="R36" i="9"/>
  <c r="R38" i="9"/>
  <c r="R39" i="9"/>
  <c r="R40" i="9"/>
  <c r="R41" i="9"/>
  <c r="R43" i="9"/>
  <c r="T43" i="9"/>
  <c r="L47" i="9"/>
  <c r="R49" i="9"/>
  <c r="R50" i="9"/>
  <c r="R51" i="9"/>
  <c r="R53" i="9"/>
  <c r="R54" i="9"/>
  <c r="R55" i="9"/>
  <c r="R56" i="9"/>
  <c r="R57" i="9"/>
  <c r="R58" i="9"/>
  <c r="R59" i="9"/>
  <c r="R60" i="9"/>
  <c r="R62" i="9"/>
  <c r="R64" i="9"/>
  <c r="R68" i="9"/>
  <c r="R69" i="9"/>
  <c r="R70" i="9"/>
  <c r="R73" i="9"/>
  <c r="R82" i="9"/>
  <c r="R83" i="9"/>
  <c r="P86" i="9"/>
  <c r="R86" i="9"/>
  <c r="T86" i="9"/>
  <c r="R92" i="9"/>
  <c r="R99" i="9"/>
  <c r="R100" i="9"/>
  <c r="R101" i="9"/>
  <c r="R103" i="9"/>
  <c r="R105" i="9"/>
  <c r="R106" i="9"/>
  <c r="R107" i="9"/>
  <c r="L109" i="9"/>
  <c r="M109" i="9"/>
  <c r="N109" i="9"/>
  <c r="O109" i="9"/>
  <c r="R115" i="9"/>
  <c r="R116" i="9"/>
  <c r="R118" i="9"/>
  <c r="R119" i="9"/>
  <c r="R120" i="9"/>
  <c r="R122" i="9"/>
  <c r="R123" i="9"/>
  <c r="R124" i="9"/>
  <c r="R126" i="9"/>
  <c r="R127" i="9"/>
  <c r="R128" i="9"/>
  <c r="R130" i="9"/>
  <c r="R134" i="9"/>
  <c r="T134" i="9"/>
  <c r="T140" i="9"/>
  <c r="R135" i="9"/>
  <c r="R136" i="9"/>
  <c r="R137" i="9"/>
  <c r="R138" i="9"/>
  <c r="L140" i="9"/>
  <c r="M140" i="9"/>
  <c r="N140" i="9"/>
  <c r="O140" i="9"/>
  <c r="R143" i="9"/>
  <c r="R145" i="9"/>
  <c r="L149" i="9"/>
  <c r="M149" i="9"/>
  <c r="N149" i="9"/>
  <c r="O149" i="9"/>
  <c r="R152" i="9"/>
  <c r="R154" i="9"/>
  <c r="R155" i="9"/>
  <c r="R156" i="9"/>
  <c r="L158" i="9"/>
  <c r="M158" i="9"/>
  <c r="N158" i="9"/>
  <c r="O158" i="9"/>
  <c r="R161" i="9"/>
  <c r="R163" i="9"/>
  <c r="R164" i="9"/>
  <c r="R165" i="9"/>
  <c r="M167" i="9"/>
  <c r="N167" i="9"/>
  <c r="O167" i="9"/>
  <c r="H7" i="14"/>
  <c r="L76" i="8"/>
  <c r="L8" i="8"/>
  <c r="L20" i="8"/>
  <c r="L34" i="8"/>
  <c r="L80" i="8"/>
  <c r="L132" i="8"/>
  <c r="H11" i="14"/>
  <c r="H20" i="14"/>
  <c r="H21" i="14"/>
  <c r="H23" i="14"/>
  <c r="M76" i="8"/>
  <c r="M8" i="8"/>
  <c r="M20" i="8"/>
  <c r="M34" i="8"/>
  <c r="M45" i="8"/>
  <c r="M78" i="8"/>
  <c r="M80" i="8"/>
  <c r="I20" i="14"/>
  <c r="I21" i="14"/>
  <c r="I23" i="14"/>
  <c r="N8" i="8"/>
  <c r="N20" i="8"/>
  <c r="N34" i="8"/>
  <c r="N45" i="8"/>
  <c r="N80" i="8"/>
  <c r="N132" i="8"/>
  <c r="J11" i="14"/>
  <c r="J20" i="14"/>
  <c r="J21" i="14"/>
  <c r="N7" i="14"/>
  <c r="O7" i="14"/>
  <c r="O8" i="8"/>
  <c r="O20" i="8"/>
  <c r="O34" i="8"/>
  <c r="O45" i="8"/>
  <c r="O76" i="8"/>
  <c r="O78" i="8"/>
  <c r="O80" i="8"/>
  <c r="O80" i="7"/>
  <c r="O80" i="1"/>
  <c r="O132" i="8"/>
  <c r="K11" i="14"/>
  <c r="K11" i="3"/>
  <c r="M11" i="14"/>
  <c r="N13" i="14"/>
  <c r="O13" i="14"/>
  <c r="L19" i="14"/>
  <c r="K20" i="14"/>
  <c r="L20" i="14"/>
  <c r="K21" i="14"/>
  <c r="M21" i="14"/>
  <c r="K23" i="14"/>
  <c r="M23" i="14"/>
  <c r="G29" i="14"/>
  <c r="G30" i="14"/>
  <c r="H29" i="14"/>
  <c r="I29" i="14"/>
  <c r="J29" i="14"/>
  <c r="K29" i="14"/>
  <c r="L29" i="14"/>
  <c r="M29" i="14"/>
  <c r="M15" i="11"/>
  <c r="N15" i="11"/>
  <c r="M22" i="11"/>
  <c r="N22" i="11"/>
  <c r="M29" i="11"/>
  <c r="N29" i="11"/>
  <c r="M31" i="11"/>
  <c r="N31" i="11"/>
  <c r="M37" i="11"/>
  <c r="N37" i="11"/>
  <c r="M43" i="11"/>
  <c r="N43" i="11"/>
  <c r="M55" i="11"/>
  <c r="N55" i="11"/>
  <c r="M62" i="11"/>
  <c r="N62" i="11"/>
  <c r="M64" i="11"/>
  <c r="N64" i="11"/>
  <c r="G66" i="11"/>
  <c r="G84" i="11"/>
  <c r="I84" i="11"/>
  <c r="J84" i="11"/>
  <c r="R10" i="8"/>
  <c r="R11" i="8"/>
  <c r="R12" i="8"/>
  <c r="R13" i="8"/>
  <c r="R14" i="8"/>
  <c r="R15" i="8"/>
  <c r="R16" i="8"/>
  <c r="R17" i="8"/>
  <c r="G20" i="8"/>
  <c r="R21" i="8"/>
  <c r="R22" i="8"/>
  <c r="R23" i="8"/>
  <c r="R24" i="8"/>
  <c r="R25" i="8"/>
  <c r="R26" i="8"/>
  <c r="R27" i="8"/>
  <c r="R28" i="8"/>
  <c r="R29" i="8"/>
  <c r="R30" i="8"/>
  <c r="R31" i="8"/>
  <c r="R20" i="8"/>
  <c r="G34" i="8"/>
  <c r="U34" i="8"/>
  <c r="R35" i="8"/>
  <c r="R36" i="8"/>
  <c r="R39" i="8"/>
  <c r="R40" i="8"/>
  <c r="R41" i="8"/>
  <c r="R42" i="8"/>
  <c r="R43" i="8"/>
  <c r="R48" i="8"/>
  <c r="R50" i="8"/>
  <c r="R52" i="8"/>
  <c r="R53" i="8"/>
  <c r="R54" i="8"/>
  <c r="R55" i="8"/>
  <c r="R56" i="8"/>
  <c r="R57" i="8"/>
  <c r="R58" i="8"/>
  <c r="R59" i="8"/>
  <c r="R61" i="8"/>
  <c r="R62" i="8"/>
  <c r="R63" i="8"/>
  <c r="R64" i="8"/>
  <c r="R66" i="8"/>
  <c r="R69" i="8"/>
  <c r="R72" i="8"/>
  <c r="R74" i="8"/>
  <c r="R82" i="8"/>
  <c r="R83" i="8"/>
  <c r="R84" i="8"/>
  <c r="R80" i="8"/>
  <c r="P86" i="8"/>
  <c r="T86" i="8"/>
  <c r="R86" i="8"/>
  <c r="P91" i="8"/>
  <c r="R92" i="8"/>
  <c r="L94" i="8"/>
  <c r="M94" i="8"/>
  <c r="M94" i="7"/>
  <c r="M94" i="1"/>
  <c r="N94" i="8"/>
  <c r="O94" i="8"/>
  <c r="R99" i="8"/>
  <c r="R101" i="8"/>
  <c r="R102" i="8"/>
  <c r="R103" i="8"/>
  <c r="R104" i="8"/>
  <c r="R105" i="8"/>
  <c r="R106" i="8"/>
  <c r="R107" i="8"/>
  <c r="L109" i="8"/>
  <c r="M109" i="8"/>
  <c r="N109" i="8"/>
  <c r="N109" i="7"/>
  <c r="N109" i="1"/>
  <c r="O109" i="8"/>
  <c r="R115" i="8"/>
  <c r="R116" i="8"/>
  <c r="R117" i="8"/>
  <c r="R118" i="8"/>
  <c r="R120" i="8"/>
  <c r="R123" i="8"/>
  <c r="R125" i="8"/>
  <c r="R126" i="8"/>
  <c r="R128" i="8"/>
  <c r="R130" i="8"/>
  <c r="R134" i="8"/>
  <c r="R136" i="8"/>
  <c r="R138" i="8"/>
  <c r="L140" i="8"/>
  <c r="M140" i="8"/>
  <c r="N140" i="8"/>
  <c r="O140" i="8"/>
  <c r="O140" i="7"/>
  <c r="O140" i="1"/>
  <c r="R143" i="8"/>
  <c r="R144" i="8"/>
  <c r="R145" i="8"/>
  <c r="R146" i="8"/>
  <c r="R147" i="8"/>
  <c r="R149" i="8"/>
  <c r="L149" i="8"/>
  <c r="M149" i="8"/>
  <c r="N149" i="8"/>
  <c r="O149" i="8"/>
  <c r="R152" i="8"/>
  <c r="R154" i="8"/>
  <c r="R156" i="8"/>
  <c r="L158" i="8"/>
  <c r="M158" i="8"/>
  <c r="N158" i="8"/>
  <c r="O158" i="8"/>
  <c r="R161" i="8"/>
  <c r="R162" i="8"/>
  <c r="R163" i="8"/>
  <c r="R164" i="8"/>
  <c r="R165" i="8"/>
  <c r="R167" i="8"/>
  <c r="L167" i="8"/>
  <c r="M167" i="8"/>
  <c r="N167" i="8"/>
  <c r="O167" i="8"/>
  <c r="H7" i="13"/>
  <c r="H7" i="3"/>
  <c r="H16" i="13"/>
  <c r="L20" i="7"/>
  <c r="L8" i="7"/>
  <c r="L34" i="7"/>
  <c r="L45" i="7"/>
  <c r="L34" i="1"/>
  <c r="L76" i="7"/>
  <c r="L80" i="7"/>
  <c r="L80" i="1"/>
  <c r="H13" i="3"/>
  <c r="H19" i="13"/>
  <c r="H20" i="13"/>
  <c r="H23" i="13"/>
  <c r="M34" i="7"/>
  <c r="M20" i="7"/>
  <c r="M8" i="7"/>
  <c r="M80" i="7"/>
  <c r="M80" i="1"/>
  <c r="I13" i="3"/>
  <c r="I43" i="10"/>
  <c r="I16" i="13"/>
  <c r="I19" i="13"/>
  <c r="I20" i="13"/>
  <c r="N34" i="7"/>
  <c r="N34" i="1"/>
  <c r="N20" i="7"/>
  <c r="N8" i="7"/>
  <c r="N80" i="7"/>
  <c r="J16" i="13"/>
  <c r="J16" i="3"/>
  <c r="J19" i="13"/>
  <c r="J20" i="13"/>
  <c r="J23" i="13"/>
  <c r="N7" i="13"/>
  <c r="O7" i="13"/>
  <c r="O34" i="7"/>
  <c r="O34" i="1"/>
  <c r="O20" i="7"/>
  <c r="O8" i="7"/>
  <c r="O45" i="7"/>
  <c r="O76" i="7"/>
  <c r="O78" i="7"/>
  <c r="L11" i="13"/>
  <c r="O11" i="13"/>
  <c r="N11" i="13"/>
  <c r="K55" i="2"/>
  <c r="N13" i="13"/>
  <c r="O13" i="13"/>
  <c r="K16" i="13"/>
  <c r="K19" i="13"/>
  <c r="M19" i="13"/>
  <c r="M20" i="13"/>
  <c r="M23" i="13"/>
  <c r="K20" i="13"/>
  <c r="L21" i="13"/>
  <c r="N21" i="13"/>
  <c r="O21" i="13"/>
  <c r="G29" i="13"/>
  <c r="I29" i="13"/>
  <c r="K29" i="13"/>
  <c r="L29" i="13"/>
  <c r="M29" i="13"/>
  <c r="G30" i="13"/>
  <c r="M10" i="10"/>
  <c r="M11" i="10"/>
  <c r="N15" i="10"/>
  <c r="H22" i="10"/>
  <c r="I22" i="10"/>
  <c r="J22" i="10"/>
  <c r="K22" i="10"/>
  <c r="K22" i="2"/>
  <c r="M22" i="10"/>
  <c r="N22" i="10"/>
  <c r="H29" i="10"/>
  <c r="I29" i="10"/>
  <c r="J29" i="10"/>
  <c r="K29" i="10"/>
  <c r="M29" i="10"/>
  <c r="N29" i="10"/>
  <c r="K31" i="10"/>
  <c r="K31" i="2"/>
  <c r="L29" i="3"/>
  <c r="M34" i="10"/>
  <c r="H37" i="10"/>
  <c r="I37" i="10"/>
  <c r="J37" i="10"/>
  <c r="K37" i="10"/>
  <c r="N37" i="10"/>
  <c r="M37" i="10"/>
  <c r="M43" i="10"/>
  <c r="N43" i="10"/>
  <c r="G45" i="10"/>
  <c r="M55" i="10"/>
  <c r="N55" i="10"/>
  <c r="I58" i="10"/>
  <c r="I62" i="10"/>
  <c r="J58" i="10"/>
  <c r="M58" i="10"/>
  <c r="M59" i="10"/>
  <c r="H62" i="10"/>
  <c r="K62" i="10"/>
  <c r="G64" i="10"/>
  <c r="H64" i="10"/>
  <c r="K64" i="10"/>
  <c r="G66" i="10"/>
  <c r="G84" i="10"/>
  <c r="H84" i="10"/>
  <c r="I84" i="10"/>
  <c r="J84" i="10"/>
  <c r="K84" i="10"/>
  <c r="H8" i="7"/>
  <c r="I8" i="7"/>
  <c r="J8" i="7"/>
  <c r="J8" i="1"/>
  <c r="K8" i="7"/>
  <c r="R9" i="7"/>
  <c r="R10" i="7"/>
  <c r="R11" i="7"/>
  <c r="R12" i="7"/>
  <c r="R13" i="7"/>
  <c r="R14" i="7"/>
  <c r="R15" i="7"/>
  <c r="R16" i="7"/>
  <c r="R17" i="7"/>
  <c r="R8" i="7"/>
  <c r="H20" i="7"/>
  <c r="I20" i="7"/>
  <c r="I34" i="7"/>
  <c r="I45" i="7"/>
  <c r="I45" i="1"/>
  <c r="J20" i="7"/>
  <c r="K20" i="7"/>
  <c r="R21" i="7"/>
  <c r="R22" i="7"/>
  <c r="R23" i="7"/>
  <c r="R24" i="7"/>
  <c r="R25" i="7"/>
  <c r="R26" i="7"/>
  <c r="R27" i="7"/>
  <c r="R28" i="7"/>
  <c r="R29" i="7"/>
  <c r="R30" i="7"/>
  <c r="R31" i="7"/>
  <c r="H34" i="7"/>
  <c r="H34" i="1"/>
  <c r="J34" i="7"/>
  <c r="K34" i="7"/>
  <c r="R40" i="7"/>
  <c r="R38" i="7"/>
  <c r="R36" i="7"/>
  <c r="R35" i="7"/>
  <c r="R37" i="7"/>
  <c r="R39" i="7"/>
  <c r="R41" i="7"/>
  <c r="R42" i="7"/>
  <c r="R43" i="7"/>
  <c r="K45" i="7"/>
  <c r="R48" i="7"/>
  <c r="R49" i="7"/>
  <c r="R50" i="7"/>
  <c r="R51" i="7"/>
  <c r="R53" i="7"/>
  <c r="R55" i="7"/>
  <c r="R56" i="7"/>
  <c r="R58" i="7"/>
  <c r="R59" i="7"/>
  <c r="R60" i="7"/>
  <c r="R61" i="7"/>
  <c r="R63" i="7"/>
  <c r="R64" i="7"/>
  <c r="R65" i="7"/>
  <c r="R66" i="7"/>
  <c r="R67" i="7"/>
  <c r="R69" i="7"/>
  <c r="R73" i="7"/>
  <c r="R74" i="7"/>
  <c r="H76" i="7"/>
  <c r="I76" i="7"/>
  <c r="J76" i="7"/>
  <c r="K76" i="7"/>
  <c r="K78" i="7"/>
  <c r="H80" i="7"/>
  <c r="H80" i="1"/>
  <c r="I80" i="7"/>
  <c r="J80" i="7"/>
  <c r="K80" i="7"/>
  <c r="R82" i="7"/>
  <c r="R83" i="7"/>
  <c r="R84" i="7"/>
  <c r="R80" i="7"/>
  <c r="R86" i="7"/>
  <c r="K88" i="7"/>
  <c r="R91" i="7"/>
  <c r="R92" i="7"/>
  <c r="H94" i="7"/>
  <c r="H94" i="1"/>
  <c r="I94" i="7"/>
  <c r="J94" i="7"/>
  <c r="K94" i="7"/>
  <c r="L94" i="7"/>
  <c r="N94" i="7"/>
  <c r="O94" i="7"/>
  <c r="R94" i="7"/>
  <c r="K96" i="7"/>
  <c r="R99" i="7"/>
  <c r="R100" i="7"/>
  <c r="R101" i="7"/>
  <c r="R102" i="7"/>
  <c r="R103" i="7"/>
  <c r="R104" i="7"/>
  <c r="R105" i="7"/>
  <c r="R106" i="7"/>
  <c r="R107" i="7"/>
  <c r="R109" i="7"/>
  <c r="H109" i="7"/>
  <c r="I109" i="7"/>
  <c r="J109" i="7"/>
  <c r="K109" i="7"/>
  <c r="L109" i="7"/>
  <c r="M109" i="7"/>
  <c r="O109" i="7"/>
  <c r="R115" i="7"/>
  <c r="R116" i="7"/>
  <c r="R118" i="7"/>
  <c r="R121" i="7"/>
  <c r="R123" i="7"/>
  <c r="R124" i="7"/>
  <c r="R126" i="7"/>
  <c r="R128" i="7"/>
  <c r="R129" i="7"/>
  <c r="R130" i="7"/>
  <c r="H132" i="7"/>
  <c r="H132" i="1"/>
  <c r="I132" i="7"/>
  <c r="J132" i="7"/>
  <c r="K132" i="7"/>
  <c r="L132" i="7"/>
  <c r="M132" i="7"/>
  <c r="O132" i="7"/>
  <c r="R134" i="7"/>
  <c r="R136" i="7"/>
  <c r="R138" i="7"/>
  <c r="L140" i="7"/>
  <c r="M140" i="7"/>
  <c r="N140" i="7"/>
  <c r="N140" i="1"/>
  <c r="R145" i="7"/>
  <c r="R147" i="7"/>
  <c r="L149" i="7"/>
  <c r="L149" i="1"/>
  <c r="M149" i="7"/>
  <c r="N149" i="7"/>
  <c r="O149" i="7"/>
  <c r="R152" i="7"/>
  <c r="R153" i="7"/>
  <c r="R154" i="7"/>
  <c r="R155" i="7"/>
  <c r="L158" i="7"/>
  <c r="M158" i="7"/>
  <c r="N158" i="7"/>
  <c r="O158" i="7"/>
  <c r="R161" i="7"/>
  <c r="R162" i="7"/>
  <c r="R163" i="7"/>
  <c r="R164" i="7"/>
  <c r="R165" i="7"/>
  <c r="L167" i="7"/>
  <c r="M167" i="7"/>
  <c r="N167" i="7"/>
  <c r="O167" i="7"/>
  <c r="R167" i="7"/>
  <c r="G7" i="3"/>
  <c r="L7" i="3"/>
  <c r="O7" i="3"/>
  <c r="M7" i="3"/>
  <c r="N7" i="3"/>
  <c r="G9" i="3"/>
  <c r="G11" i="3"/>
  <c r="M11" i="3"/>
  <c r="G13" i="3"/>
  <c r="L13" i="3"/>
  <c r="O13" i="3"/>
  <c r="J13" i="3"/>
  <c r="K13" i="3"/>
  <c r="M13" i="3"/>
  <c r="N13" i="3"/>
  <c r="G16" i="3"/>
  <c r="I16" i="3"/>
  <c r="M16" i="3"/>
  <c r="G19" i="3"/>
  <c r="H19" i="3"/>
  <c r="I19" i="3"/>
  <c r="J19" i="3"/>
  <c r="M19" i="3"/>
  <c r="M20" i="3"/>
  <c r="M21" i="3"/>
  <c r="M23" i="3"/>
  <c r="G20" i="3"/>
  <c r="H20" i="3"/>
  <c r="H21" i="3"/>
  <c r="H23" i="3"/>
  <c r="J20" i="3"/>
  <c r="K20" i="3"/>
  <c r="G21" i="3"/>
  <c r="I21" i="3"/>
  <c r="K21" i="3"/>
  <c r="G31" i="2"/>
  <c r="G29" i="3"/>
  <c r="K29" i="3"/>
  <c r="L31" i="2"/>
  <c r="M29" i="3"/>
  <c r="G10" i="2"/>
  <c r="H10" i="2"/>
  <c r="I10" i="2"/>
  <c r="J10" i="2"/>
  <c r="L10" i="2"/>
  <c r="K10" i="2"/>
  <c r="M10" i="2"/>
  <c r="N10" i="2"/>
  <c r="G11" i="2"/>
  <c r="H11" i="2"/>
  <c r="I11" i="2"/>
  <c r="J11" i="2"/>
  <c r="L11" i="2"/>
  <c r="K11" i="2"/>
  <c r="M11" i="2"/>
  <c r="N11" i="2"/>
  <c r="G12" i="2"/>
  <c r="H12" i="2"/>
  <c r="I12" i="2"/>
  <c r="J12" i="2"/>
  <c r="K12" i="2"/>
  <c r="L12" i="2"/>
  <c r="N12" i="2"/>
  <c r="G15" i="2"/>
  <c r="H15" i="2"/>
  <c r="I15" i="2"/>
  <c r="K15" i="2"/>
  <c r="L15" i="2"/>
  <c r="G17" i="2"/>
  <c r="H17" i="2"/>
  <c r="I17" i="2"/>
  <c r="J17" i="2"/>
  <c r="K17" i="2"/>
  <c r="L17" i="2"/>
  <c r="N17" i="2"/>
  <c r="G18" i="2"/>
  <c r="H18" i="2"/>
  <c r="I18" i="2"/>
  <c r="J18" i="2"/>
  <c r="K18" i="2"/>
  <c r="L18" i="2"/>
  <c r="N18" i="2"/>
  <c r="G22" i="2"/>
  <c r="H22" i="2"/>
  <c r="I22" i="2"/>
  <c r="J22" i="2"/>
  <c r="L22" i="2"/>
  <c r="M22" i="2"/>
  <c r="N22" i="2"/>
  <c r="G24" i="2"/>
  <c r="H24" i="2"/>
  <c r="I24" i="2"/>
  <c r="J24" i="2"/>
  <c r="K24" i="2"/>
  <c r="L24" i="2"/>
  <c r="N24" i="2"/>
  <c r="G25" i="2"/>
  <c r="H25" i="2"/>
  <c r="I25" i="2"/>
  <c r="J25" i="2"/>
  <c r="K25" i="2"/>
  <c r="L25" i="2"/>
  <c r="N25" i="2"/>
  <c r="G26" i="2"/>
  <c r="H26" i="2"/>
  <c r="I26" i="2"/>
  <c r="J26" i="2"/>
  <c r="L26" i="2"/>
  <c r="K26" i="2"/>
  <c r="M26" i="2"/>
  <c r="N26" i="2"/>
  <c r="G27" i="2"/>
  <c r="H27" i="2"/>
  <c r="I27" i="2"/>
  <c r="J27" i="2"/>
  <c r="L27" i="2"/>
  <c r="K27" i="2"/>
  <c r="M27" i="2"/>
  <c r="N27" i="2"/>
  <c r="G29" i="2"/>
  <c r="H29" i="2"/>
  <c r="J29" i="2"/>
  <c r="K29" i="2"/>
  <c r="L29" i="2"/>
  <c r="N29" i="2"/>
  <c r="G34" i="2"/>
  <c r="H34" i="2"/>
  <c r="I34" i="2"/>
  <c r="J34" i="2"/>
  <c r="L34" i="2"/>
  <c r="K34" i="2"/>
  <c r="M34" i="2"/>
  <c r="N34" i="2"/>
  <c r="G37" i="2"/>
  <c r="I37" i="2"/>
  <c r="J37" i="2"/>
  <c r="L37" i="2"/>
  <c r="K37" i="2"/>
  <c r="M37" i="2"/>
  <c r="N37" i="2"/>
  <c r="G40" i="2"/>
  <c r="H40" i="2"/>
  <c r="I40" i="2"/>
  <c r="J40" i="2"/>
  <c r="K40" i="2"/>
  <c r="L40" i="2"/>
  <c r="G41" i="2"/>
  <c r="H41" i="2"/>
  <c r="I41" i="2"/>
  <c r="J41" i="2"/>
  <c r="K41" i="2"/>
  <c r="L41" i="2"/>
  <c r="G43" i="2"/>
  <c r="H43" i="2"/>
  <c r="I43" i="2"/>
  <c r="J43" i="2"/>
  <c r="L43" i="2"/>
  <c r="K43" i="2"/>
  <c r="M43" i="2"/>
  <c r="G45" i="2"/>
  <c r="G48" i="2"/>
  <c r="H48" i="2"/>
  <c r="I48" i="2"/>
  <c r="J48" i="2"/>
  <c r="K48" i="2"/>
  <c r="L48" i="2"/>
  <c r="G49" i="2"/>
  <c r="H49" i="2"/>
  <c r="I49" i="2"/>
  <c r="J49" i="2"/>
  <c r="K49" i="2"/>
  <c r="L49" i="2"/>
  <c r="H50" i="2"/>
  <c r="I50" i="2"/>
  <c r="J50" i="2"/>
  <c r="K50" i="2"/>
  <c r="L50" i="2"/>
  <c r="G51" i="2"/>
  <c r="H51" i="2"/>
  <c r="I51" i="2"/>
  <c r="J51" i="2"/>
  <c r="K51" i="2"/>
  <c r="L51" i="2"/>
  <c r="G52" i="2"/>
  <c r="H52" i="2"/>
  <c r="I52" i="2"/>
  <c r="J52" i="2"/>
  <c r="K52" i="2"/>
  <c r="L52" i="2"/>
  <c r="G55" i="2"/>
  <c r="J55" i="2"/>
  <c r="N55" i="2"/>
  <c r="H55" i="2"/>
  <c r="I55" i="2"/>
  <c r="L55" i="2"/>
  <c r="M55" i="2"/>
  <c r="G58" i="2"/>
  <c r="H58" i="2"/>
  <c r="I58" i="2"/>
  <c r="J58" i="2"/>
  <c r="K58" i="2"/>
  <c r="L58" i="2"/>
  <c r="G59" i="2"/>
  <c r="H59" i="2"/>
  <c r="I59" i="2"/>
  <c r="J59" i="2"/>
  <c r="K59" i="2"/>
  <c r="L59" i="2"/>
  <c r="G60" i="2"/>
  <c r="L60" i="2"/>
  <c r="L62" i="2"/>
  <c r="L64" i="2"/>
  <c r="G71" i="2"/>
  <c r="H71" i="2"/>
  <c r="I71" i="2"/>
  <c r="J71" i="2"/>
  <c r="K71" i="2"/>
  <c r="G72" i="2"/>
  <c r="H72" i="2"/>
  <c r="I72" i="2"/>
  <c r="J72" i="2"/>
  <c r="K72" i="2"/>
  <c r="G73" i="2"/>
  <c r="H73" i="2"/>
  <c r="I73" i="2"/>
  <c r="J73" i="2"/>
  <c r="K73" i="2"/>
  <c r="K74" i="2"/>
  <c r="K75" i="2"/>
  <c r="K76" i="2"/>
  <c r="K77" i="2"/>
  <c r="K78" i="2"/>
  <c r="K79" i="2"/>
  <c r="K80" i="2"/>
  <c r="K81" i="2"/>
  <c r="K82" i="2"/>
  <c r="K84" i="2"/>
  <c r="G74" i="2"/>
  <c r="H74" i="2"/>
  <c r="I74" i="2"/>
  <c r="J74" i="2"/>
  <c r="G75" i="2"/>
  <c r="H75" i="2"/>
  <c r="I75" i="2"/>
  <c r="J75" i="2"/>
  <c r="G76" i="2"/>
  <c r="H76" i="2"/>
  <c r="I76" i="2"/>
  <c r="J76" i="2"/>
  <c r="G77" i="2"/>
  <c r="H77" i="2"/>
  <c r="I77" i="2"/>
  <c r="J77" i="2"/>
  <c r="G78" i="2"/>
  <c r="H78" i="2"/>
  <c r="I78" i="2"/>
  <c r="J78" i="2"/>
  <c r="G79" i="2"/>
  <c r="H79" i="2"/>
  <c r="I79" i="2"/>
  <c r="J79" i="2"/>
  <c r="G80" i="2"/>
  <c r="H80" i="2"/>
  <c r="I80" i="2"/>
  <c r="J80" i="2"/>
  <c r="G81" i="2"/>
  <c r="H81" i="2"/>
  <c r="I81" i="2"/>
  <c r="J81" i="2"/>
  <c r="I82" i="2"/>
  <c r="J82" i="2"/>
  <c r="G84" i="2"/>
  <c r="H8" i="1"/>
  <c r="I8" i="1"/>
  <c r="K8" i="1"/>
  <c r="L8" i="1"/>
  <c r="N8" i="1"/>
  <c r="O8" i="1"/>
  <c r="R11" i="1"/>
  <c r="R13" i="1"/>
  <c r="R15" i="1"/>
  <c r="Q17" i="1"/>
  <c r="R17" i="1"/>
  <c r="H9" i="1"/>
  <c r="I9" i="1"/>
  <c r="J9" i="1"/>
  <c r="K9" i="1"/>
  <c r="L9" i="1"/>
  <c r="M9" i="1"/>
  <c r="N9" i="1"/>
  <c r="O9" i="1"/>
  <c r="H10" i="1"/>
  <c r="I10" i="1"/>
  <c r="K10" i="1"/>
  <c r="L10" i="1"/>
  <c r="M10" i="1"/>
  <c r="N10" i="1"/>
  <c r="O10" i="1"/>
  <c r="H11" i="1"/>
  <c r="I11" i="1"/>
  <c r="J11" i="1"/>
  <c r="K11" i="1"/>
  <c r="L11" i="1"/>
  <c r="M11" i="1"/>
  <c r="N11" i="1"/>
  <c r="O11" i="1"/>
  <c r="H12" i="1"/>
  <c r="I12" i="1"/>
  <c r="J12" i="1"/>
  <c r="K12" i="1"/>
  <c r="L12" i="1"/>
  <c r="M12" i="1"/>
  <c r="N12" i="1"/>
  <c r="O12" i="1"/>
  <c r="H13" i="1"/>
  <c r="I13" i="1"/>
  <c r="J13" i="1"/>
  <c r="K13" i="1"/>
  <c r="L13" i="1"/>
  <c r="M13" i="1"/>
  <c r="N13" i="1"/>
  <c r="O13" i="1"/>
  <c r="H14" i="1"/>
  <c r="I14" i="1"/>
  <c r="J14" i="1"/>
  <c r="K14" i="1"/>
  <c r="L14" i="1"/>
  <c r="M14" i="1"/>
  <c r="N14" i="1"/>
  <c r="O14" i="1"/>
  <c r="H15" i="1"/>
  <c r="I15" i="1"/>
  <c r="J15" i="1"/>
  <c r="K15" i="1"/>
  <c r="L15" i="1"/>
  <c r="M15" i="1"/>
  <c r="N15" i="1"/>
  <c r="O15" i="1"/>
  <c r="H16" i="1"/>
  <c r="I16" i="1"/>
  <c r="J16" i="1"/>
  <c r="K16" i="1"/>
  <c r="L16" i="1"/>
  <c r="M16" i="1"/>
  <c r="N16" i="1"/>
  <c r="O16" i="1"/>
  <c r="H17" i="1"/>
  <c r="I17" i="1"/>
  <c r="J17" i="1"/>
  <c r="K17" i="1"/>
  <c r="L17" i="1"/>
  <c r="M17" i="1"/>
  <c r="N17" i="1"/>
  <c r="O17" i="1"/>
  <c r="I20" i="1"/>
  <c r="J20" i="1"/>
  <c r="K20" i="1"/>
  <c r="M20" i="1"/>
  <c r="N20" i="1"/>
  <c r="O20" i="1"/>
  <c r="R21" i="1"/>
  <c r="R23" i="1"/>
  <c r="R24" i="1"/>
  <c r="R25" i="1"/>
  <c r="R27" i="1"/>
  <c r="R28" i="1"/>
  <c r="R29" i="1"/>
  <c r="R31" i="1"/>
  <c r="H21" i="1"/>
  <c r="I21" i="1"/>
  <c r="J21" i="1"/>
  <c r="K21" i="1"/>
  <c r="L21" i="1"/>
  <c r="M21" i="1"/>
  <c r="N21" i="1"/>
  <c r="O21" i="1"/>
  <c r="H22" i="1"/>
  <c r="I22" i="1"/>
  <c r="J22" i="1"/>
  <c r="K22" i="1"/>
  <c r="L22" i="1"/>
  <c r="M22" i="1"/>
  <c r="N22" i="1"/>
  <c r="O22" i="1"/>
  <c r="H23" i="1"/>
  <c r="I23" i="1"/>
  <c r="J23" i="1"/>
  <c r="K23" i="1"/>
  <c r="L23" i="1"/>
  <c r="M23" i="1"/>
  <c r="N23" i="1"/>
  <c r="O23" i="1"/>
  <c r="H24" i="1"/>
  <c r="I24" i="1"/>
  <c r="J24" i="1"/>
  <c r="K24" i="1"/>
  <c r="L24" i="1"/>
  <c r="M24" i="1"/>
  <c r="N24" i="1"/>
  <c r="O24" i="1"/>
  <c r="H25" i="1"/>
  <c r="I25" i="1"/>
  <c r="J25" i="1"/>
  <c r="K25" i="1"/>
  <c r="L25" i="1"/>
  <c r="M25" i="1"/>
  <c r="N25" i="1"/>
  <c r="O25" i="1"/>
  <c r="H26" i="1"/>
  <c r="I26" i="1"/>
  <c r="J26" i="1"/>
  <c r="K26" i="1"/>
  <c r="L26" i="1"/>
  <c r="M26" i="1"/>
  <c r="N26" i="1"/>
  <c r="O26" i="1"/>
  <c r="H27" i="1"/>
  <c r="I27" i="1"/>
  <c r="J27" i="1"/>
  <c r="K27" i="1"/>
  <c r="L27" i="1"/>
  <c r="M27" i="1"/>
  <c r="N27" i="1"/>
  <c r="O27" i="1"/>
  <c r="H28" i="1"/>
  <c r="I28" i="1"/>
  <c r="J28" i="1"/>
  <c r="K28" i="1"/>
  <c r="L28" i="1"/>
  <c r="M28" i="1"/>
  <c r="N28" i="1"/>
  <c r="O28" i="1"/>
  <c r="H29" i="1"/>
  <c r="I29" i="1"/>
  <c r="J29" i="1"/>
  <c r="K29" i="1"/>
  <c r="L29" i="1"/>
  <c r="M29" i="1"/>
  <c r="N29" i="1"/>
  <c r="O29" i="1"/>
  <c r="H30" i="1"/>
  <c r="I30" i="1"/>
  <c r="J30" i="1"/>
  <c r="K30" i="1"/>
  <c r="L30" i="1"/>
  <c r="M30" i="1"/>
  <c r="N30" i="1"/>
  <c r="O30" i="1"/>
  <c r="H31" i="1"/>
  <c r="I31" i="1"/>
  <c r="J31" i="1"/>
  <c r="K31" i="1"/>
  <c r="L31" i="1"/>
  <c r="M31" i="1"/>
  <c r="N31" i="1"/>
  <c r="O31" i="1"/>
  <c r="I34" i="1"/>
  <c r="J34" i="1"/>
  <c r="K34" i="1"/>
  <c r="M34" i="1"/>
  <c r="R40" i="1"/>
  <c r="R36" i="1"/>
  <c r="R37" i="1"/>
  <c r="R39" i="1"/>
  <c r="R43" i="1"/>
  <c r="H35" i="1"/>
  <c r="I35" i="1"/>
  <c r="J35" i="1"/>
  <c r="K35" i="1"/>
  <c r="L35" i="1"/>
  <c r="M35" i="1"/>
  <c r="N35" i="1"/>
  <c r="O35" i="1"/>
  <c r="H36" i="1"/>
  <c r="I36" i="1"/>
  <c r="J36" i="1"/>
  <c r="K36" i="1"/>
  <c r="L36" i="1"/>
  <c r="M36" i="1"/>
  <c r="N36" i="1"/>
  <c r="O36" i="1"/>
  <c r="H37" i="1"/>
  <c r="I37" i="1"/>
  <c r="J37" i="1"/>
  <c r="K37" i="1"/>
  <c r="L37" i="1"/>
  <c r="M37" i="1"/>
  <c r="N37" i="1"/>
  <c r="O37" i="1"/>
  <c r="H38" i="1"/>
  <c r="I38" i="1"/>
  <c r="J38" i="1"/>
  <c r="K38" i="1"/>
  <c r="L38" i="1"/>
  <c r="M38" i="1"/>
  <c r="N38" i="1"/>
  <c r="O38" i="1"/>
  <c r="H39" i="1"/>
  <c r="I39" i="1"/>
  <c r="J39" i="1"/>
  <c r="K39" i="1"/>
  <c r="L39" i="1"/>
  <c r="M39" i="1"/>
  <c r="N39" i="1"/>
  <c r="O39" i="1"/>
  <c r="H40" i="1"/>
  <c r="I40" i="1"/>
  <c r="J40" i="1"/>
  <c r="K40" i="1"/>
  <c r="L40" i="1"/>
  <c r="M40" i="1"/>
  <c r="N40" i="1"/>
  <c r="O40" i="1"/>
  <c r="H41" i="1"/>
  <c r="I41" i="1"/>
  <c r="J41" i="1"/>
  <c r="K41" i="1"/>
  <c r="L41" i="1"/>
  <c r="M41" i="1"/>
  <c r="N41" i="1"/>
  <c r="O41" i="1"/>
  <c r="H42" i="1"/>
  <c r="I42" i="1"/>
  <c r="J42" i="1"/>
  <c r="K42" i="1"/>
  <c r="L42" i="1"/>
  <c r="M42" i="1"/>
  <c r="N42" i="1"/>
  <c r="O42" i="1"/>
  <c r="H43" i="1"/>
  <c r="I43" i="1"/>
  <c r="J43" i="1"/>
  <c r="K43" i="1"/>
  <c r="L43" i="1"/>
  <c r="M43" i="1"/>
  <c r="N43" i="1"/>
  <c r="O43" i="1"/>
  <c r="K45" i="1"/>
  <c r="H48" i="1"/>
  <c r="I48" i="1"/>
  <c r="J48" i="1"/>
  <c r="K48" i="1"/>
  <c r="L48" i="1"/>
  <c r="M48" i="1"/>
  <c r="N48" i="1"/>
  <c r="O48" i="1"/>
  <c r="H49" i="1"/>
  <c r="I49" i="1"/>
  <c r="J49" i="1"/>
  <c r="K49" i="1"/>
  <c r="L49" i="1"/>
  <c r="M49" i="1"/>
  <c r="N49" i="1"/>
  <c r="O49" i="1"/>
  <c r="H50" i="1"/>
  <c r="I50" i="1"/>
  <c r="J50" i="1"/>
  <c r="K50" i="1"/>
  <c r="L50" i="1"/>
  <c r="M50" i="1"/>
  <c r="N50" i="1"/>
  <c r="O50" i="1"/>
  <c r="H51" i="1"/>
  <c r="I51" i="1"/>
  <c r="J51" i="1"/>
  <c r="K51" i="1"/>
  <c r="L51" i="1"/>
  <c r="M51" i="1"/>
  <c r="N51" i="1"/>
  <c r="O51" i="1"/>
  <c r="H52" i="1"/>
  <c r="I52" i="1"/>
  <c r="J52" i="1"/>
  <c r="K52" i="1"/>
  <c r="L52" i="1"/>
  <c r="M52" i="1"/>
  <c r="O52" i="1"/>
  <c r="H53" i="1"/>
  <c r="I53" i="1"/>
  <c r="J53" i="1"/>
  <c r="K53" i="1"/>
  <c r="L53" i="1"/>
  <c r="M53" i="1"/>
  <c r="N53" i="1"/>
  <c r="O53" i="1"/>
  <c r="H54" i="1"/>
  <c r="I54" i="1"/>
  <c r="J54" i="1"/>
  <c r="K54" i="1"/>
  <c r="L54" i="1"/>
  <c r="O54" i="1"/>
  <c r="H55" i="1"/>
  <c r="I55" i="1"/>
  <c r="J55" i="1"/>
  <c r="K55" i="1"/>
  <c r="L55" i="1"/>
  <c r="M55" i="1"/>
  <c r="N55" i="1"/>
  <c r="O55" i="1"/>
  <c r="R55" i="1"/>
  <c r="H56" i="1"/>
  <c r="I56" i="1"/>
  <c r="J56" i="1"/>
  <c r="K56" i="1"/>
  <c r="L56" i="1"/>
  <c r="M56" i="1"/>
  <c r="N56" i="1"/>
  <c r="O56" i="1"/>
  <c r="H57" i="1"/>
  <c r="I57" i="1"/>
  <c r="J57" i="1"/>
  <c r="K57" i="1"/>
  <c r="L57" i="1"/>
  <c r="M57" i="1"/>
  <c r="N57" i="1"/>
  <c r="O57" i="1"/>
  <c r="H58" i="1"/>
  <c r="I58" i="1"/>
  <c r="J58" i="1"/>
  <c r="K58" i="1"/>
  <c r="L58" i="1"/>
  <c r="M58" i="1"/>
  <c r="N58" i="1"/>
  <c r="O58" i="1"/>
  <c r="R58" i="1"/>
  <c r="H59" i="1"/>
  <c r="I59" i="1"/>
  <c r="J59" i="1"/>
  <c r="K59" i="1"/>
  <c r="L59" i="1"/>
  <c r="M59" i="1"/>
  <c r="N59" i="1"/>
  <c r="O59" i="1"/>
  <c r="H60" i="1"/>
  <c r="I60" i="1"/>
  <c r="J60" i="1"/>
  <c r="K60" i="1"/>
  <c r="L60" i="1"/>
  <c r="M60" i="1"/>
  <c r="N60" i="1"/>
  <c r="O60" i="1"/>
  <c r="H61" i="1"/>
  <c r="I61" i="1"/>
  <c r="J61" i="1"/>
  <c r="K61" i="1"/>
  <c r="L61" i="1"/>
  <c r="N61" i="1"/>
  <c r="O61" i="1"/>
  <c r="H62" i="1"/>
  <c r="I62" i="1"/>
  <c r="J62" i="1"/>
  <c r="K62" i="1"/>
  <c r="L62" i="1"/>
  <c r="M62" i="1"/>
  <c r="N62" i="1"/>
  <c r="O62" i="1"/>
  <c r="H63" i="1"/>
  <c r="I63" i="1"/>
  <c r="J63" i="1"/>
  <c r="K63" i="1"/>
  <c r="L63" i="1"/>
  <c r="M63" i="1"/>
  <c r="N63" i="1"/>
  <c r="O63" i="1"/>
  <c r="H64" i="1"/>
  <c r="I64" i="1"/>
  <c r="J64" i="1"/>
  <c r="K64" i="1"/>
  <c r="L64" i="1"/>
  <c r="M64" i="1"/>
  <c r="N64" i="1"/>
  <c r="O64" i="1"/>
  <c r="H65" i="1"/>
  <c r="I65" i="1"/>
  <c r="J65" i="1"/>
  <c r="K65" i="1"/>
  <c r="L65" i="1"/>
  <c r="M65" i="1"/>
  <c r="N65" i="1"/>
  <c r="O65" i="1"/>
  <c r="H66" i="1"/>
  <c r="I66" i="1"/>
  <c r="J66" i="1"/>
  <c r="K66" i="1"/>
  <c r="L66" i="1"/>
  <c r="M66" i="1"/>
  <c r="N66" i="1"/>
  <c r="O66" i="1"/>
  <c r="H67" i="1"/>
  <c r="I67" i="1"/>
  <c r="J67" i="1"/>
  <c r="K67" i="1"/>
  <c r="L67" i="1"/>
  <c r="M67" i="1"/>
  <c r="O67" i="1"/>
  <c r="H68" i="1"/>
  <c r="I68" i="1"/>
  <c r="J68" i="1"/>
  <c r="K68" i="1"/>
  <c r="L68" i="1"/>
  <c r="M68" i="1"/>
  <c r="N68" i="1"/>
  <c r="O68" i="1"/>
  <c r="H69" i="1"/>
  <c r="I69" i="1"/>
  <c r="J69" i="1"/>
  <c r="K69" i="1"/>
  <c r="L69" i="1"/>
  <c r="M69" i="1"/>
  <c r="N69" i="1"/>
  <c r="O69" i="1"/>
  <c r="H70" i="1"/>
  <c r="I70" i="1"/>
  <c r="J70" i="1"/>
  <c r="K70" i="1"/>
  <c r="L70" i="1"/>
  <c r="M70" i="1"/>
  <c r="N70" i="1"/>
  <c r="O70" i="1"/>
  <c r="H71" i="1"/>
  <c r="I71" i="1"/>
  <c r="J71" i="1"/>
  <c r="K71" i="1"/>
  <c r="L71" i="1"/>
  <c r="M71" i="1"/>
  <c r="N71" i="1"/>
  <c r="O71" i="1"/>
  <c r="H72" i="1"/>
  <c r="I72" i="1"/>
  <c r="J72" i="1"/>
  <c r="K72" i="1"/>
  <c r="L72" i="1"/>
  <c r="M72" i="1"/>
  <c r="N72" i="1"/>
  <c r="O72" i="1"/>
  <c r="H73" i="1"/>
  <c r="I73" i="1"/>
  <c r="J73" i="1"/>
  <c r="K73" i="1"/>
  <c r="L73" i="1"/>
  <c r="M73" i="1"/>
  <c r="N73" i="1"/>
  <c r="O73" i="1"/>
  <c r="H74" i="1"/>
  <c r="I74" i="1"/>
  <c r="J74" i="1"/>
  <c r="K74" i="1"/>
  <c r="L74" i="1"/>
  <c r="M74" i="1"/>
  <c r="N74" i="1"/>
  <c r="O74" i="1"/>
  <c r="K76" i="1"/>
  <c r="O76" i="1"/>
  <c r="K78" i="1"/>
  <c r="I80" i="1"/>
  <c r="J80" i="1"/>
  <c r="K80" i="1"/>
  <c r="N80" i="1"/>
  <c r="H81" i="1"/>
  <c r="I81" i="1"/>
  <c r="J81" i="1"/>
  <c r="K81" i="1"/>
  <c r="L81" i="1"/>
  <c r="M81" i="1"/>
  <c r="N81" i="1"/>
  <c r="O81" i="1"/>
  <c r="P81" i="1"/>
  <c r="H82" i="1"/>
  <c r="I82" i="1"/>
  <c r="J82" i="1"/>
  <c r="K82" i="1"/>
  <c r="L82" i="1"/>
  <c r="M82" i="1"/>
  <c r="N82" i="1"/>
  <c r="O82" i="1"/>
  <c r="H83" i="1"/>
  <c r="I83" i="1"/>
  <c r="J83" i="1"/>
  <c r="K83" i="1"/>
  <c r="L83" i="1"/>
  <c r="M83" i="1"/>
  <c r="N83" i="1"/>
  <c r="O83" i="1"/>
  <c r="H84" i="1"/>
  <c r="I84" i="1"/>
  <c r="J84" i="1"/>
  <c r="K84" i="1"/>
  <c r="L84" i="1"/>
  <c r="M84" i="1"/>
  <c r="N84" i="1"/>
  <c r="O84" i="1"/>
  <c r="H86" i="1"/>
  <c r="I86" i="1"/>
  <c r="J86" i="1"/>
  <c r="K86" i="1"/>
  <c r="L86" i="1"/>
  <c r="M86" i="1"/>
  <c r="N86" i="1"/>
  <c r="O86" i="1"/>
  <c r="K88" i="1"/>
  <c r="H91" i="1"/>
  <c r="I91" i="1"/>
  <c r="J91" i="1"/>
  <c r="K91" i="1"/>
  <c r="M91" i="1"/>
  <c r="O91" i="1"/>
  <c r="H92" i="1"/>
  <c r="I92" i="1"/>
  <c r="J92" i="1"/>
  <c r="K92" i="1"/>
  <c r="L92" i="1"/>
  <c r="M92" i="1"/>
  <c r="N92" i="1"/>
  <c r="O92" i="1"/>
  <c r="R92" i="1"/>
  <c r="I94" i="1"/>
  <c r="J94" i="1"/>
  <c r="K94" i="1"/>
  <c r="O94" i="1"/>
  <c r="K96" i="1"/>
  <c r="H99" i="1"/>
  <c r="I99" i="1"/>
  <c r="J99" i="1"/>
  <c r="K99" i="1"/>
  <c r="L99" i="1"/>
  <c r="M99" i="1"/>
  <c r="N99" i="1"/>
  <c r="O99" i="1"/>
  <c r="H100" i="1"/>
  <c r="I100" i="1"/>
  <c r="J100" i="1"/>
  <c r="K100" i="1"/>
  <c r="L100" i="1"/>
  <c r="M100" i="1"/>
  <c r="N100" i="1"/>
  <c r="O100" i="1"/>
  <c r="H101" i="1"/>
  <c r="I101" i="1"/>
  <c r="J101" i="1"/>
  <c r="K101" i="1"/>
  <c r="L101" i="1"/>
  <c r="M101" i="1"/>
  <c r="N101" i="1"/>
  <c r="O101" i="1"/>
  <c r="R101" i="1"/>
  <c r="H102" i="1"/>
  <c r="I102" i="1"/>
  <c r="J102" i="1"/>
  <c r="K102" i="1"/>
  <c r="L102" i="1"/>
  <c r="M102" i="1"/>
  <c r="N102" i="1"/>
  <c r="O102" i="1"/>
  <c r="H103" i="1"/>
  <c r="I103" i="1"/>
  <c r="J103" i="1"/>
  <c r="K103" i="1"/>
  <c r="L103" i="1"/>
  <c r="M103" i="1"/>
  <c r="N103" i="1"/>
  <c r="O103" i="1"/>
  <c r="H104" i="1"/>
  <c r="I104" i="1"/>
  <c r="J104" i="1"/>
  <c r="K104" i="1"/>
  <c r="L104" i="1"/>
  <c r="M104" i="1"/>
  <c r="N104" i="1"/>
  <c r="O104" i="1"/>
  <c r="H105" i="1"/>
  <c r="I105" i="1"/>
  <c r="J105" i="1"/>
  <c r="K105" i="1"/>
  <c r="L105" i="1"/>
  <c r="M105" i="1"/>
  <c r="N105" i="1"/>
  <c r="O105" i="1"/>
  <c r="R105" i="1"/>
  <c r="H106" i="1"/>
  <c r="I106" i="1"/>
  <c r="J106" i="1"/>
  <c r="K106" i="1"/>
  <c r="L106" i="1"/>
  <c r="M106" i="1"/>
  <c r="N106" i="1"/>
  <c r="O106" i="1"/>
  <c r="R106" i="1"/>
  <c r="H107" i="1"/>
  <c r="I107" i="1"/>
  <c r="J107" i="1"/>
  <c r="K107" i="1"/>
  <c r="L107" i="1"/>
  <c r="M107" i="1"/>
  <c r="N107" i="1"/>
  <c r="O107" i="1"/>
  <c r="H109" i="1"/>
  <c r="I109" i="1"/>
  <c r="J109" i="1"/>
  <c r="K109" i="1"/>
  <c r="L109" i="1"/>
  <c r="M109" i="1"/>
  <c r="O109" i="1"/>
  <c r="I132" i="1"/>
  <c r="J132" i="1"/>
  <c r="K132" i="1"/>
  <c r="O132" i="1"/>
  <c r="R132" i="1"/>
  <c r="R134" i="1"/>
  <c r="H135" i="1"/>
  <c r="I135" i="1"/>
  <c r="J135" i="1"/>
  <c r="K135" i="1"/>
  <c r="L135" i="1"/>
  <c r="M135" i="1"/>
  <c r="N135" i="1"/>
  <c r="O135" i="1"/>
  <c r="H136" i="1"/>
  <c r="I136" i="1"/>
  <c r="J136" i="1"/>
  <c r="K136" i="1"/>
  <c r="L136" i="1"/>
  <c r="M136" i="1"/>
  <c r="N136" i="1"/>
  <c r="O136" i="1"/>
  <c r="H137" i="1"/>
  <c r="I137" i="1"/>
  <c r="J137" i="1"/>
  <c r="K137" i="1"/>
  <c r="L137" i="1"/>
  <c r="M137" i="1"/>
  <c r="N137" i="1"/>
  <c r="O137" i="1"/>
  <c r="H138" i="1"/>
  <c r="I138" i="1"/>
  <c r="J138" i="1"/>
  <c r="K138" i="1"/>
  <c r="L138" i="1"/>
  <c r="M138" i="1"/>
  <c r="N138" i="1"/>
  <c r="O138" i="1"/>
  <c r="H140" i="1"/>
  <c r="I140" i="1"/>
  <c r="J140" i="1"/>
  <c r="K140" i="1"/>
  <c r="L140" i="1"/>
  <c r="M140" i="1"/>
  <c r="H143" i="1"/>
  <c r="I143" i="1"/>
  <c r="J143" i="1"/>
  <c r="K143" i="1"/>
  <c r="L143" i="1"/>
  <c r="M143" i="1"/>
  <c r="N143" i="1"/>
  <c r="O143" i="1"/>
  <c r="H144" i="1"/>
  <c r="I144" i="1"/>
  <c r="J144" i="1"/>
  <c r="K144" i="1"/>
  <c r="L144" i="1"/>
  <c r="M144" i="1"/>
  <c r="N144" i="1"/>
  <c r="O144" i="1"/>
  <c r="H145" i="1"/>
  <c r="I145" i="1"/>
  <c r="J145" i="1"/>
  <c r="K145" i="1"/>
  <c r="L145" i="1"/>
  <c r="M145" i="1"/>
  <c r="N145" i="1"/>
  <c r="O145" i="1"/>
  <c r="R145" i="1"/>
  <c r="H146" i="1"/>
  <c r="I146" i="1"/>
  <c r="J146" i="1"/>
  <c r="K146" i="1"/>
  <c r="L146" i="1"/>
  <c r="M146" i="1"/>
  <c r="N146" i="1"/>
  <c r="O146" i="1"/>
  <c r="R147" i="1"/>
  <c r="H149" i="1"/>
  <c r="I149" i="1"/>
  <c r="J149" i="1"/>
  <c r="K149" i="1"/>
  <c r="M149" i="1"/>
  <c r="N149" i="1"/>
  <c r="O149" i="1"/>
  <c r="H152" i="1"/>
  <c r="I152" i="1"/>
  <c r="J152" i="1"/>
  <c r="K152" i="1"/>
  <c r="L152" i="1"/>
  <c r="M152" i="1"/>
  <c r="N152" i="1"/>
  <c r="O152" i="1"/>
  <c r="H153" i="1"/>
  <c r="I153" i="1"/>
  <c r="J153" i="1"/>
  <c r="K153" i="1"/>
  <c r="L153" i="1"/>
  <c r="M153" i="1"/>
  <c r="N153" i="1"/>
  <c r="O153" i="1"/>
  <c r="H154" i="1"/>
  <c r="I154" i="1"/>
  <c r="J154" i="1"/>
  <c r="K154" i="1"/>
  <c r="L154" i="1"/>
  <c r="M154" i="1"/>
  <c r="N154" i="1"/>
  <c r="O154" i="1"/>
  <c r="R154" i="1"/>
  <c r="H155" i="1"/>
  <c r="I155" i="1"/>
  <c r="J155" i="1"/>
  <c r="K155" i="1"/>
  <c r="L155" i="1"/>
  <c r="M155" i="1"/>
  <c r="N155" i="1"/>
  <c r="O155" i="1"/>
  <c r="H156" i="1"/>
  <c r="I156" i="1"/>
  <c r="J156" i="1"/>
  <c r="K156" i="1"/>
  <c r="L156" i="1"/>
  <c r="M156" i="1"/>
  <c r="N156" i="1"/>
  <c r="O156" i="1"/>
  <c r="H157" i="1"/>
  <c r="I157" i="1"/>
  <c r="J157" i="1"/>
  <c r="K157" i="1"/>
  <c r="L157" i="1"/>
  <c r="M157" i="1"/>
  <c r="N157" i="1"/>
  <c r="O157" i="1"/>
  <c r="Q157" i="1"/>
  <c r="R157" i="1"/>
  <c r="H158" i="1"/>
  <c r="I158" i="1"/>
  <c r="J158" i="1"/>
  <c r="K158" i="1"/>
  <c r="L158" i="1"/>
  <c r="M158" i="1"/>
  <c r="N158" i="1"/>
  <c r="O158" i="1"/>
  <c r="H161" i="1"/>
  <c r="I161" i="1"/>
  <c r="J161" i="1"/>
  <c r="K161" i="1"/>
  <c r="L161" i="1"/>
  <c r="M161" i="1"/>
  <c r="N161" i="1"/>
  <c r="O161" i="1"/>
  <c r="H162" i="1"/>
  <c r="I162" i="1"/>
  <c r="J162" i="1"/>
  <c r="K162" i="1"/>
  <c r="M162" i="1"/>
  <c r="N162" i="1"/>
  <c r="O162" i="1"/>
  <c r="H163" i="1"/>
  <c r="I163" i="1"/>
  <c r="J163" i="1"/>
  <c r="K163" i="1"/>
  <c r="L163" i="1"/>
  <c r="M163" i="1"/>
  <c r="N163" i="1"/>
  <c r="O163" i="1"/>
  <c r="H164" i="1"/>
  <c r="I164" i="1"/>
  <c r="J164" i="1"/>
  <c r="K164" i="1"/>
  <c r="L164" i="1"/>
  <c r="M164" i="1"/>
  <c r="N164" i="1"/>
  <c r="O164" i="1"/>
  <c r="H165" i="1"/>
  <c r="I165" i="1"/>
  <c r="J165" i="1"/>
  <c r="K165" i="1"/>
  <c r="L165" i="1"/>
  <c r="M165" i="1"/>
  <c r="N165" i="1"/>
  <c r="O165" i="1"/>
  <c r="R165" i="1"/>
  <c r="H167" i="1"/>
  <c r="I167" i="1"/>
  <c r="J167" i="1"/>
  <c r="K167" i="1"/>
  <c r="M167" i="1"/>
  <c r="N167" i="1"/>
  <c r="O167" i="1"/>
  <c r="M60" i="10"/>
  <c r="M62" i="10"/>
  <c r="J62" i="10"/>
  <c r="N62" i="10"/>
  <c r="I64" i="10"/>
  <c r="T66" i="9"/>
  <c r="R66" i="9"/>
  <c r="P61" i="9"/>
  <c r="M76" i="9"/>
  <c r="T35" i="1"/>
  <c r="U35" i="1"/>
  <c r="S35" i="1"/>
  <c r="O78" i="1"/>
  <c r="O88" i="7"/>
  <c r="I78" i="7"/>
  <c r="H29" i="13"/>
  <c r="H31" i="10"/>
  <c r="H31" i="2"/>
  <c r="H29" i="3"/>
  <c r="K16" i="3"/>
  <c r="M45" i="7"/>
  <c r="M8" i="1"/>
  <c r="L78" i="7"/>
  <c r="N20" i="14"/>
  <c r="O20" i="14"/>
  <c r="O88" i="8"/>
  <c r="L20" i="1"/>
  <c r="H16" i="3"/>
  <c r="P122" i="7"/>
  <c r="N132" i="7"/>
  <c r="T120" i="7"/>
  <c r="R120" i="7"/>
  <c r="P124" i="8"/>
  <c r="M132" i="8"/>
  <c r="U122" i="8"/>
  <c r="T122" i="8"/>
  <c r="R122" i="8"/>
  <c r="H45" i="10"/>
  <c r="H37" i="2"/>
  <c r="L19" i="13"/>
  <c r="K23" i="13"/>
  <c r="K19" i="3"/>
  <c r="K23" i="3"/>
  <c r="J23" i="14"/>
  <c r="J21" i="3"/>
  <c r="J23" i="3"/>
  <c r="J64" i="10"/>
  <c r="R35" i="1"/>
  <c r="J84" i="2"/>
  <c r="I84" i="2"/>
  <c r="M24" i="2"/>
  <c r="M17" i="2"/>
  <c r="M12" i="2"/>
  <c r="R34" i="7"/>
  <c r="I29" i="2"/>
  <c r="I31" i="10"/>
  <c r="I31" i="2"/>
  <c r="I29" i="3"/>
  <c r="I23" i="13"/>
  <c r="I20" i="3"/>
  <c r="I23" i="3"/>
  <c r="L20" i="13"/>
  <c r="P94" i="8"/>
  <c r="T91" i="8"/>
  <c r="T94" i="8"/>
  <c r="R91" i="8"/>
  <c r="R94" i="8"/>
  <c r="N76" i="8"/>
  <c r="N78" i="8"/>
  <c r="N88" i="8"/>
  <c r="M88" i="8"/>
  <c r="T20" i="8"/>
  <c r="L16" i="13"/>
  <c r="N16" i="15"/>
  <c r="O16" i="15"/>
  <c r="M61" i="1"/>
  <c r="O45" i="1"/>
  <c r="H84" i="2"/>
  <c r="N43" i="2"/>
  <c r="M29" i="2"/>
  <c r="M25" i="2"/>
  <c r="M18" i="2"/>
  <c r="G23" i="3"/>
  <c r="G25" i="3"/>
  <c r="G30" i="3"/>
  <c r="J45" i="7"/>
  <c r="R20" i="7"/>
  <c r="R45" i="7"/>
  <c r="H45" i="7"/>
  <c r="H20" i="1"/>
  <c r="K45" i="10"/>
  <c r="I45" i="10"/>
  <c r="J29" i="13"/>
  <c r="J15" i="2"/>
  <c r="M15" i="10"/>
  <c r="J31" i="10"/>
  <c r="N45" i="7"/>
  <c r="L21" i="14"/>
  <c r="N19" i="14"/>
  <c r="L23" i="14"/>
  <c r="O19" i="14"/>
  <c r="R140" i="9"/>
  <c r="O96" i="9"/>
  <c r="K9" i="15"/>
  <c r="T20" i="9"/>
  <c r="T149" i="8"/>
  <c r="L45" i="8"/>
  <c r="L78" i="8"/>
  <c r="L88" i="8"/>
  <c r="N7" i="15"/>
  <c r="L45" i="9"/>
  <c r="T167" i="8"/>
  <c r="T34" i="7"/>
  <c r="T20" i="7"/>
  <c r="U45" i="7"/>
  <c r="T128" i="8"/>
  <c r="S128" i="8"/>
  <c r="T62" i="9"/>
  <c r="S62" i="9"/>
  <c r="U62" i="9"/>
  <c r="P61" i="1"/>
  <c r="R8" i="9"/>
  <c r="T8" i="9"/>
  <c r="P63" i="9"/>
  <c r="L76" i="9"/>
  <c r="L76" i="1"/>
  <c r="U63" i="7"/>
  <c r="G45" i="8"/>
  <c r="G20" i="1"/>
  <c r="U20" i="1"/>
  <c r="N19" i="15"/>
  <c r="O19" i="15"/>
  <c r="I23" i="15"/>
  <c r="L21" i="15"/>
  <c r="M45" i="9"/>
  <c r="M78" i="9"/>
  <c r="M88" i="9"/>
  <c r="U20" i="8"/>
  <c r="G34" i="1"/>
  <c r="T115" i="7"/>
  <c r="P149" i="8"/>
  <c r="U147" i="8"/>
  <c r="T91" i="7"/>
  <c r="T94" i="7"/>
  <c r="P86" i="1"/>
  <c r="R84" i="9"/>
  <c r="R80" i="9"/>
  <c r="T84" i="9"/>
  <c r="P80" i="9"/>
  <c r="P80" i="1"/>
  <c r="T83" i="9"/>
  <c r="S80" i="8"/>
  <c r="N132" i="9"/>
  <c r="P73" i="8"/>
  <c r="P72" i="9"/>
  <c r="P66" i="1"/>
  <c r="P127" i="7"/>
  <c r="P119" i="7"/>
  <c r="P129" i="8"/>
  <c r="P121" i="8"/>
  <c r="P83" i="1"/>
  <c r="P82" i="1"/>
  <c r="P74" i="9"/>
  <c r="P73" i="1"/>
  <c r="P72" i="7"/>
  <c r="P69" i="1"/>
  <c r="P68" i="7"/>
  <c r="P67" i="9"/>
  <c r="P67" i="8"/>
  <c r="P67" i="1"/>
  <c r="P64" i="1"/>
  <c r="P62" i="7"/>
  <c r="U8" i="9"/>
  <c r="G8" i="1"/>
  <c r="P125" i="7"/>
  <c r="P117" i="7"/>
  <c r="P127" i="8"/>
  <c r="P119" i="8"/>
  <c r="P147" i="9"/>
  <c r="P129" i="9"/>
  <c r="P125" i="9"/>
  <c r="P121" i="9"/>
  <c r="P117" i="9"/>
  <c r="P132" i="9"/>
  <c r="L132" i="9"/>
  <c r="P84" i="1"/>
  <c r="P71" i="7"/>
  <c r="P70" i="8"/>
  <c r="P70" i="7"/>
  <c r="P68" i="8"/>
  <c r="P65" i="9"/>
  <c r="P65" i="8"/>
  <c r="P53" i="1"/>
  <c r="N52" i="7"/>
  <c r="P50" i="1"/>
  <c r="K60" i="2"/>
  <c r="J76" i="9"/>
  <c r="J76" i="1"/>
  <c r="N52" i="9"/>
  <c r="P59" i="1"/>
  <c r="P56" i="1"/>
  <c r="S56" i="1"/>
  <c r="P52" i="7"/>
  <c r="P51" i="8"/>
  <c r="P49" i="8"/>
  <c r="P48" i="9"/>
  <c r="P38" i="8"/>
  <c r="P26" i="1"/>
  <c r="P22" i="1"/>
  <c r="P104" i="9"/>
  <c r="P103" i="1"/>
  <c r="P57" i="7"/>
  <c r="M54" i="7"/>
  <c r="P51" i="1"/>
  <c r="P49" i="1"/>
  <c r="P48" i="1"/>
  <c r="P102" i="9"/>
  <c r="P102" i="1"/>
  <c r="P138" i="1"/>
  <c r="P167" i="7"/>
  <c r="P60" i="8"/>
  <c r="N54" i="7"/>
  <c r="N54" i="1"/>
  <c r="P42" i="9"/>
  <c r="P41" i="1"/>
  <c r="P30" i="1"/>
  <c r="P16" i="1"/>
  <c r="P14" i="1"/>
  <c r="P12" i="1"/>
  <c r="P10" i="1"/>
  <c r="S10" i="1"/>
  <c r="P9" i="8"/>
  <c r="P107" i="1"/>
  <c r="P100" i="8"/>
  <c r="P137" i="7"/>
  <c r="P135" i="8"/>
  <c r="P135" i="7"/>
  <c r="P144" i="7"/>
  <c r="P144" i="9"/>
  <c r="P156" i="7"/>
  <c r="P158" i="7"/>
  <c r="P153" i="8"/>
  <c r="P153" i="9"/>
  <c r="P153" i="1"/>
  <c r="P161" i="1"/>
  <c r="G62" i="12"/>
  <c r="H76" i="9"/>
  <c r="H76" i="1"/>
  <c r="I76" i="9"/>
  <c r="I76" i="1"/>
  <c r="J78" i="9"/>
  <c r="J88" i="9"/>
  <c r="J96" i="9"/>
  <c r="J45" i="11"/>
  <c r="P137" i="8"/>
  <c r="P146" i="7"/>
  <c r="P146" i="9"/>
  <c r="P143" i="7"/>
  <c r="P155" i="8"/>
  <c r="P164" i="1"/>
  <c r="P163" i="1"/>
  <c r="K64" i="2"/>
  <c r="Q78" i="9"/>
  <c r="L45" i="12"/>
  <c r="I60" i="12"/>
  <c r="P99" i="1"/>
  <c r="P136" i="1"/>
  <c r="P152" i="1"/>
  <c r="G76" i="9"/>
  <c r="Q78" i="8"/>
  <c r="H60" i="12"/>
  <c r="H60" i="2"/>
  <c r="I78" i="9"/>
  <c r="I88" i="9"/>
  <c r="I96" i="9"/>
  <c r="J45" i="12"/>
  <c r="J10" i="1"/>
  <c r="L162" i="9"/>
  <c r="T67" i="1"/>
  <c r="R67" i="1"/>
  <c r="S67" i="1"/>
  <c r="T153" i="1"/>
  <c r="U153" i="1"/>
  <c r="R153" i="1"/>
  <c r="S153" i="1"/>
  <c r="T102" i="1"/>
  <c r="R102" i="1"/>
  <c r="U132" i="9"/>
  <c r="S132" i="9"/>
  <c r="S80" i="1"/>
  <c r="U80" i="1"/>
  <c r="T164" i="1"/>
  <c r="U164" i="1"/>
  <c r="R164" i="1"/>
  <c r="T152" i="1"/>
  <c r="U152" i="1"/>
  <c r="S152" i="1"/>
  <c r="R152" i="1"/>
  <c r="I62" i="12"/>
  <c r="I60" i="2"/>
  <c r="P158" i="9"/>
  <c r="T153" i="9"/>
  <c r="T158" i="9"/>
  <c r="U153" i="9"/>
  <c r="S153" i="9"/>
  <c r="R153" i="9"/>
  <c r="R158" i="9"/>
  <c r="P146" i="1"/>
  <c r="T146" i="7"/>
  <c r="R146" i="7"/>
  <c r="P144" i="1"/>
  <c r="T144" i="7"/>
  <c r="R144" i="7"/>
  <c r="P100" i="1"/>
  <c r="T100" i="8"/>
  <c r="T109" i="8"/>
  <c r="P109" i="8"/>
  <c r="R100" i="8"/>
  <c r="R109" i="8"/>
  <c r="T12" i="1"/>
  <c r="U12" i="1"/>
  <c r="S12" i="1"/>
  <c r="R12" i="1"/>
  <c r="T41" i="1"/>
  <c r="R41" i="1"/>
  <c r="S167" i="7"/>
  <c r="U167" i="7"/>
  <c r="T49" i="1"/>
  <c r="U49" i="1"/>
  <c r="S49" i="1"/>
  <c r="R49" i="1"/>
  <c r="T22" i="1"/>
  <c r="U22" i="1"/>
  <c r="S22" i="1"/>
  <c r="R22" i="1"/>
  <c r="T49" i="8"/>
  <c r="R49" i="8"/>
  <c r="P76" i="8"/>
  <c r="T59" i="1"/>
  <c r="U59" i="1"/>
  <c r="R59" i="1"/>
  <c r="N52" i="1"/>
  <c r="N76" i="7"/>
  <c r="T65" i="9"/>
  <c r="S65" i="9"/>
  <c r="R65" i="9"/>
  <c r="U65" i="9"/>
  <c r="T71" i="7"/>
  <c r="P71" i="1"/>
  <c r="R71" i="7"/>
  <c r="R121" i="9"/>
  <c r="T121" i="9"/>
  <c r="T117" i="7"/>
  <c r="R117" i="7"/>
  <c r="P62" i="1"/>
  <c r="T62" i="7"/>
  <c r="R62" i="7"/>
  <c r="T68" i="7"/>
  <c r="U68" i="7"/>
  <c r="S68" i="7"/>
  <c r="P68" i="1"/>
  <c r="R68" i="7"/>
  <c r="T74" i="9"/>
  <c r="R74" i="9"/>
  <c r="S129" i="8"/>
  <c r="T129" i="8"/>
  <c r="R129" i="8"/>
  <c r="P74" i="1"/>
  <c r="O21" i="15"/>
  <c r="N21" i="15"/>
  <c r="G78" i="8"/>
  <c r="G45" i="1"/>
  <c r="R63" i="9"/>
  <c r="T63" i="9"/>
  <c r="H9" i="14"/>
  <c r="L96" i="8"/>
  <c r="M15" i="2"/>
  <c r="N15" i="2"/>
  <c r="K62" i="2"/>
  <c r="J78" i="7"/>
  <c r="J45" i="1"/>
  <c r="T124" i="8"/>
  <c r="U124" i="8"/>
  <c r="R124" i="8"/>
  <c r="T122" i="7"/>
  <c r="R122" i="7"/>
  <c r="G76" i="1"/>
  <c r="Q88" i="9"/>
  <c r="T146" i="9"/>
  <c r="R146" i="9"/>
  <c r="U144" i="9"/>
  <c r="S144" i="9"/>
  <c r="R144" i="9"/>
  <c r="T144" i="9"/>
  <c r="P149" i="9"/>
  <c r="P162" i="9"/>
  <c r="L167" i="9"/>
  <c r="L167" i="1"/>
  <c r="L162" i="1"/>
  <c r="T155" i="8"/>
  <c r="S155" i="8"/>
  <c r="R155" i="8"/>
  <c r="T137" i="8"/>
  <c r="R137" i="8"/>
  <c r="P158" i="8"/>
  <c r="T153" i="8"/>
  <c r="T158" i="8"/>
  <c r="U153" i="8"/>
  <c r="S153" i="8"/>
  <c r="R153" i="8"/>
  <c r="P135" i="1"/>
  <c r="P140" i="7"/>
  <c r="T135" i="7"/>
  <c r="U135" i="7"/>
  <c r="R135" i="7"/>
  <c r="T107" i="1"/>
  <c r="R107" i="1"/>
  <c r="T14" i="1"/>
  <c r="U14" i="1"/>
  <c r="R14" i="1"/>
  <c r="P42" i="1"/>
  <c r="P34" i="9"/>
  <c r="P45" i="9"/>
  <c r="T42" i="9"/>
  <c r="T34" i="9"/>
  <c r="T45" i="9"/>
  <c r="R42" i="9"/>
  <c r="R34" i="9"/>
  <c r="T138" i="1"/>
  <c r="U138" i="1"/>
  <c r="S138" i="1"/>
  <c r="R138" i="1"/>
  <c r="T51" i="1"/>
  <c r="U51" i="1"/>
  <c r="R51" i="1"/>
  <c r="P155" i="1"/>
  <c r="T26" i="1"/>
  <c r="U26" i="1"/>
  <c r="S26" i="1"/>
  <c r="R26" i="1"/>
  <c r="T51" i="8"/>
  <c r="U51" i="8"/>
  <c r="S51" i="8"/>
  <c r="R51" i="8"/>
  <c r="H62" i="12"/>
  <c r="T53" i="1"/>
  <c r="U53" i="1"/>
  <c r="S53" i="1"/>
  <c r="R53" i="1"/>
  <c r="T68" i="8"/>
  <c r="U68" i="8"/>
  <c r="R68" i="8"/>
  <c r="S68" i="8"/>
  <c r="T84" i="1"/>
  <c r="R84" i="1"/>
  <c r="U125" i="9"/>
  <c r="R125" i="9"/>
  <c r="T125" i="9"/>
  <c r="S147" i="9"/>
  <c r="T147" i="9"/>
  <c r="R147" i="9"/>
  <c r="T125" i="7"/>
  <c r="R125" i="7"/>
  <c r="T64" i="1"/>
  <c r="U64" i="1"/>
  <c r="R64" i="1"/>
  <c r="U69" i="1"/>
  <c r="T69" i="1"/>
  <c r="S69" i="1"/>
  <c r="R69" i="1"/>
  <c r="T82" i="1"/>
  <c r="U82" i="1"/>
  <c r="S82" i="1"/>
  <c r="R82" i="1"/>
  <c r="T119" i="7"/>
  <c r="R119" i="7"/>
  <c r="U66" i="1"/>
  <c r="R66" i="1"/>
  <c r="S66" i="1"/>
  <c r="T66" i="1"/>
  <c r="N91" i="9"/>
  <c r="J11" i="15"/>
  <c r="J11" i="3"/>
  <c r="L78" i="9"/>
  <c r="L88" i="9"/>
  <c r="L21" i="3"/>
  <c r="N21" i="14"/>
  <c r="O21" i="14"/>
  <c r="N78" i="7"/>
  <c r="N45" i="1"/>
  <c r="N16" i="13"/>
  <c r="L16" i="3"/>
  <c r="O16" i="13"/>
  <c r="S51" i="1"/>
  <c r="M96" i="8"/>
  <c r="I9" i="14"/>
  <c r="N64" i="10"/>
  <c r="M64" i="10"/>
  <c r="L23" i="13"/>
  <c r="N19" i="13"/>
  <c r="L19" i="3"/>
  <c r="O19" i="13"/>
  <c r="K9" i="14"/>
  <c r="O96" i="8"/>
  <c r="M45" i="1"/>
  <c r="I88" i="7"/>
  <c r="I78" i="1"/>
  <c r="O88" i="1"/>
  <c r="O96" i="7"/>
  <c r="K9" i="13"/>
  <c r="K9" i="3"/>
  <c r="J60" i="12"/>
  <c r="M45" i="12"/>
  <c r="N45" i="12"/>
  <c r="Q88" i="8"/>
  <c r="T136" i="1"/>
  <c r="U136" i="1"/>
  <c r="S136" i="1"/>
  <c r="R136" i="1"/>
  <c r="L66" i="12"/>
  <c r="L45" i="2"/>
  <c r="L66" i="2"/>
  <c r="T163" i="1"/>
  <c r="U163" i="1"/>
  <c r="S163" i="1"/>
  <c r="R163" i="1"/>
  <c r="P143" i="1"/>
  <c r="P149" i="7"/>
  <c r="U143" i="7"/>
  <c r="T143" i="7"/>
  <c r="T149" i="7"/>
  <c r="S143" i="7"/>
  <c r="R143" i="7"/>
  <c r="R149" i="7"/>
  <c r="N45" i="11"/>
  <c r="N66" i="11"/>
  <c r="J66" i="11"/>
  <c r="M45" i="11"/>
  <c r="M66" i="11"/>
  <c r="G64" i="12"/>
  <c r="G62" i="2"/>
  <c r="P156" i="1"/>
  <c r="T156" i="7"/>
  <c r="T158" i="7"/>
  <c r="R156" i="7"/>
  <c r="R158" i="7"/>
  <c r="P140" i="8"/>
  <c r="T135" i="8"/>
  <c r="T140" i="8"/>
  <c r="U135" i="8"/>
  <c r="R135" i="8"/>
  <c r="R140" i="8"/>
  <c r="S135" i="8"/>
  <c r="P8" i="8"/>
  <c r="U9" i="8"/>
  <c r="T9" i="8"/>
  <c r="T8" i="8"/>
  <c r="S9" i="8"/>
  <c r="R9" i="8"/>
  <c r="R8" i="8"/>
  <c r="T16" i="1"/>
  <c r="R16" i="1"/>
  <c r="P109" i="9"/>
  <c r="T102" i="9"/>
  <c r="R102" i="9"/>
  <c r="M54" i="1"/>
  <c r="M76" i="7"/>
  <c r="M76" i="1"/>
  <c r="T103" i="1"/>
  <c r="R103" i="1"/>
  <c r="P38" i="1"/>
  <c r="T38" i="8"/>
  <c r="T34" i="8"/>
  <c r="P34" i="8"/>
  <c r="P34" i="1"/>
  <c r="S34" i="1"/>
  <c r="R38" i="8"/>
  <c r="R34" i="8"/>
  <c r="P54" i="7"/>
  <c r="P76" i="7"/>
  <c r="T52" i="7"/>
  <c r="U52" i="7"/>
  <c r="S52" i="7"/>
  <c r="R52" i="7"/>
  <c r="H78" i="9"/>
  <c r="H88" i="9"/>
  <c r="H96" i="9"/>
  <c r="P9" i="1"/>
  <c r="U70" i="7"/>
  <c r="S70" i="7"/>
  <c r="T70" i="7"/>
  <c r="R70" i="7"/>
  <c r="P70" i="1"/>
  <c r="L91" i="9"/>
  <c r="H11" i="15"/>
  <c r="U129" i="9"/>
  <c r="R129" i="9"/>
  <c r="T129" i="9"/>
  <c r="T119" i="8"/>
  <c r="R119" i="8"/>
  <c r="T67" i="8"/>
  <c r="R67" i="8"/>
  <c r="P72" i="1"/>
  <c r="R72" i="7"/>
  <c r="T72" i="7"/>
  <c r="T83" i="1"/>
  <c r="U83" i="1"/>
  <c r="S83" i="1"/>
  <c r="R83" i="1"/>
  <c r="T127" i="7"/>
  <c r="T132" i="7"/>
  <c r="R127" i="7"/>
  <c r="S72" i="9"/>
  <c r="R72" i="9"/>
  <c r="U72" i="9"/>
  <c r="T72" i="9"/>
  <c r="T80" i="9"/>
  <c r="T86" i="1"/>
  <c r="R86" i="1"/>
  <c r="S149" i="8"/>
  <c r="U149" i="8"/>
  <c r="L23" i="15"/>
  <c r="G78" i="9"/>
  <c r="P63" i="1"/>
  <c r="T61" i="1"/>
  <c r="U61" i="1"/>
  <c r="S61" i="1"/>
  <c r="R61" i="1"/>
  <c r="T45" i="7"/>
  <c r="M31" i="10"/>
  <c r="J31" i="2"/>
  <c r="N31" i="10"/>
  <c r="J45" i="10"/>
  <c r="I66" i="10"/>
  <c r="I45" i="2"/>
  <c r="H45" i="1"/>
  <c r="H78" i="7"/>
  <c r="S14" i="1"/>
  <c r="U94" i="8"/>
  <c r="S94" i="8"/>
  <c r="L88" i="7"/>
  <c r="L78" i="1"/>
  <c r="T61" i="9"/>
  <c r="S61" i="9"/>
  <c r="R61" i="9"/>
  <c r="U61" i="9"/>
  <c r="S164" i="1"/>
  <c r="T99" i="1"/>
  <c r="R99" i="1"/>
  <c r="T161" i="1"/>
  <c r="U161" i="1"/>
  <c r="S161" i="1"/>
  <c r="R161" i="1"/>
  <c r="P137" i="1"/>
  <c r="U137" i="7"/>
  <c r="S137" i="7"/>
  <c r="T137" i="7"/>
  <c r="R137" i="7"/>
  <c r="T10" i="1"/>
  <c r="U10" i="1"/>
  <c r="R10" i="1"/>
  <c r="T30" i="1"/>
  <c r="R30" i="1"/>
  <c r="T60" i="8"/>
  <c r="R60" i="8"/>
  <c r="P60" i="1"/>
  <c r="T48" i="1"/>
  <c r="R48" i="1"/>
  <c r="U48" i="1"/>
  <c r="P57" i="1"/>
  <c r="T57" i="7"/>
  <c r="R57" i="7"/>
  <c r="T104" i="9"/>
  <c r="R104" i="9"/>
  <c r="R48" i="9"/>
  <c r="T48" i="9"/>
  <c r="T56" i="1"/>
  <c r="R56" i="1"/>
  <c r="U56" i="1"/>
  <c r="P52" i="9"/>
  <c r="P52" i="1"/>
  <c r="N76" i="9"/>
  <c r="N78" i="9"/>
  <c r="N88" i="9"/>
  <c r="Q78" i="1"/>
  <c r="T50" i="1"/>
  <c r="U50" i="1"/>
  <c r="S50" i="1"/>
  <c r="R50" i="1"/>
  <c r="T65" i="8"/>
  <c r="R65" i="8"/>
  <c r="P65" i="1"/>
  <c r="T70" i="8"/>
  <c r="R70" i="8"/>
  <c r="S117" i="9"/>
  <c r="R117" i="9"/>
  <c r="R132" i="9"/>
  <c r="T117" i="9"/>
  <c r="T132" i="9"/>
  <c r="R127" i="8"/>
  <c r="T127" i="8"/>
  <c r="R67" i="9"/>
  <c r="T67" i="9"/>
  <c r="T73" i="1"/>
  <c r="R73" i="1"/>
  <c r="T121" i="8"/>
  <c r="R121" i="8"/>
  <c r="P104" i="1"/>
  <c r="T73" i="8"/>
  <c r="R73" i="8"/>
  <c r="P132" i="8"/>
  <c r="P132" i="7"/>
  <c r="P132" i="1"/>
  <c r="S48" i="1"/>
  <c r="I9" i="15"/>
  <c r="M96" i="9"/>
  <c r="S59" i="1"/>
  <c r="R45" i="9"/>
  <c r="S64" i="1"/>
  <c r="N23" i="14"/>
  <c r="O23" i="14"/>
  <c r="K45" i="2"/>
  <c r="K66" i="2"/>
  <c r="K66" i="10"/>
  <c r="L132" i="1"/>
  <c r="N96" i="8"/>
  <c r="J9" i="14"/>
  <c r="O20" i="13"/>
  <c r="N20" i="13"/>
  <c r="L20" i="3"/>
  <c r="H66" i="10"/>
  <c r="H45" i="2"/>
  <c r="M132" i="1"/>
  <c r="I11" i="14"/>
  <c r="N132" i="1"/>
  <c r="N16" i="14"/>
  <c r="O16" i="14"/>
  <c r="L45" i="1"/>
  <c r="T52" i="1"/>
  <c r="U52" i="1"/>
  <c r="R52" i="1"/>
  <c r="S52" i="1"/>
  <c r="Q96" i="7"/>
  <c r="M9" i="13"/>
  <c r="Q88" i="1"/>
  <c r="J29" i="3"/>
  <c r="M31" i="2"/>
  <c r="N31" i="2"/>
  <c r="G88" i="9"/>
  <c r="T72" i="1"/>
  <c r="U72" i="1"/>
  <c r="R72" i="1"/>
  <c r="S72" i="1"/>
  <c r="R132" i="8"/>
  <c r="P54" i="1"/>
  <c r="U54" i="7"/>
  <c r="S54" i="7"/>
  <c r="T54" i="7"/>
  <c r="R54" i="7"/>
  <c r="T38" i="1"/>
  <c r="U38" i="1"/>
  <c r="R38" i="1"/>
  <c r="S38" i="1"/>
  <c r="T45" i="8"/>
  <c r="G66" i="12"/>
  <c r="G64" i="2"/>
  <c r="G66" i="2"/>
  <c r="P149" i="1"/>
  <c r="S149" i="7"/>
  <c r="U149" i="7"/>
  <c r="J60" i="2"/>
  <c r="J62" i="12"/>
  <c r="N19" i="3"/>
  <c r="O19" i="3"/>
  <c r="L23" i="3"/>
  <c r="N21" i="3"/>
  <c r="O21" i="3"/>
  <c r="T155" i="1"/>
  <c r="U155" i="1"/>
  <c r="R155" i="1"/>
  <c r="S155" i="1"/>
  <c r="P140" i="1"/>
  <c r="S140" i="7"/>
  <c r="U140" i="7"/>
  <c r="T149" i="9"/>
  <c r="H25" i="14"/>
  <c r="L9" i="14"/>
  <c r="R132" i="7"/>
  <c r="R20" i="1"/>
  <c r="T100" i="1"/>
  <c r="R100" i="1"/>
  <c r="N20" i="3"/>
  <c r="O20" i="3"/>
  <c r="S132" i="1"/>
  <c r="U132" i="1"/>
  <c r="J9" i="15"/>
  <c r="T57" i="1"/>
  <c r="U57" i="1"/>
  <c r="S57" i="1"/>
  <c r="R57" i="1"/>
  <c r="T60" i="1"/>
  <c r="R60" i="1"/>
  <c r="U60" i="1"/>
  <c r="S60" i="1"/>
  <c r="T137" i="1"/>
  <c r="U137" i="1"/>
  <c r="R137" i="1"/>
  <c r="S137" i="1"/>
  <c r="N23" i="15"/>
  <c r="O23" i="15"/>
  <c r="T132" i="8"/>
  <c r="L11" i="15"/>
  <c r="H11" i="3"/>
  <c r="T9" i="1"/>
  <c r="T8" i="1"/>
  <c r="U9" i="1"/>
  <c r="S9" i="1"/>
  <c r="R9" i="1"/>
  <c r="R8" i="1"/>
  <c r="R109" i="9"/>
  <c r="T143" i="1"/>
  <c r="S143" i="1"/>
  <c r="U143" i="1"/>
  <c r="R143" i="1"/>
  <c r="Q96" i="8"/>
  <c r="M9" i="14"/>
  <c r="M25" i="14"/>
  <c r="M30" i="14"/>
  <c r="N88" i="7"/>
  <c r="N78" i="1"/>
  <c r="H9" i="15"/>
  <c r="T80" i="1"/>
  <c r="R140" i="7"/>
  <c r="T135" i="1"/>
  <c r="T140" i="1"/>
  <c r="U135" i="1"/>
  <c r="R135" i="1"/>
  <c r="R140" i="1"/>
  <c r="S135" i="1"/>
  <c r="R149" i="9"/>
  <c r="G88" i="8"/>
  <c r="G78" i="1"/>
  <c r="U34" i="1"/>
  <c r="T68" i="1"/>
  <c r="R68" i="1"/>
  <c r="U68" i="1"/>
  <c r="S68" i="1"/>
  <c r="T71" i="1"/>
  <c r="R71" i="1"/>
  <c r="U76" i="8"/>
  <c r="S76" i="8"/>
  <c r="I64" i="12"/>
  <c r="I62" i="2"/>
  <c r="L11" i="14"/>
  <c r="I11" i="3"/>
  <c r="T104" i="1"/>
  <c r="R104" i="1"/>
  <c r="S132" i="8"/>
  <c r="U132" i="8"/>
  <c r="U52" i="9"/>
  <c r="R52" i="9"/>
  <c r="R76" i="9"/>
  <c r="R78" i="9"/>
  <c r="R88" i="9"/>
  <c r="S52" i="9"/>
  <c r="T52" i="9"/>
  <c r="T76" i="9"/>
  <c r="T78" i="9"/>
  <c r="T88" i="9"/>
  <c r="P76" i="9"/>
  <c r="R109" i="1"/>
  <c r="L96" i="7"/>
  <c r="L88" i="1"/>
  <c r="H9" i="13"/>
  <c r="H88" i="7"/>
  <c r="H78" i="1"/>
  <c r="M45" i="10"/>
  <c r="M66" i="10"/>
  <c r="N45" i="10"/>
  <c r="N66" i="10"/>
  <c r="J66" i="10"/>
  <c r="J45" i="2"/>
  <c r="P91" i="9"/>
  <c r="L94" i="9"/>
  <c r="L91" i="1"/>
  <c r="T76" i="7"/>
  <c r="T78" i="7"/>
  <c r="T88" i="7"/>
  <c r="T96" i="7"/>
  <c r="T109" i="9"/>
  <c r="R45" i="8"/>
  <c r="R76" i="8"/>
  <c r="R78" i="8"/>
  <c r="R88" i="8"/>
  <c r="R96" i="8"/>
  <c r="P45" i="8"/>
  <c r="P8" i="1"/>
  <c r="U8" i="8"/>
  <c r="S8" i="8"/>
  <c r="T156" i="1"/>
  <c r="T158" i="1"/>
  <c r="U156" i="1"/>
  <c r="S156" i="1"/>
  <c r="R156" i="1"/>
  <c r="I96" i="7"/>
  <c r="I96" i="1"/>
  <c r="I88" i="1"/>
  <c r="O23" i="13"/>
  <c r="N23" i="13"/>
  <c r="O16" i="3"/>
  <c r="N16" i="3"/>
  <c r="R80" i="1"/>
  <c r="P78" i="9"/>
  <c r="S45" i="9"/>
  <c r="U45" i="9"/>
  <c r="R158" i="8"/>
  <c r="U158" i="8"/>
  <c r="S158" i="8"/>
  <c r="P167" i="9"/>
  <c r="U162" i="9"/>
  <c r="S162" i="9"/>
  <c r="R162" i="9"/>
  <c r="R167" i="9"/>
  <c r="T162" i="9"/>
  <c r="T167" i="9"/>
  <c r="P162" i="1"/>
  <c r="T74" i="1"/>
  <c r="R74" i="1"/>
  <c r="S109" i="8"/>
  <c r="U109" i="8"/>
  <c r="P109" i="1"/>
  <c r="T146" i="1"/>
  <c r="R146" i="1"/>
  <c r="R158" i="1"/>
  <c r="T65" i="1"/>
  <c r="U65" i="1"/>
  <c r="S65" i="1"/>
  <c r="R65" i="1"/>
  <c r="T109" i="1"/>
  <c r="T63" i="1"/>
  <c r="U63" i="1"/>
  <c r="R63" i="1"/>
  <c r="S63" i="1"/>
  <c r="T70" i="1"/>
  <c r="U70" i="1"/>
  <c r="S70" i="1"/>
  <c r="R70" i="1"/>
  <c r="R76" i="7"/>
  <c r="R78" i="7"/>
  <c r="R88" i="7"/>
  <c r="R96" i="7"/>
  <c r="S76" i="7"/>
  <c r="P76" i="1"/>
  <c r="S76" i="1"/>
  <c r="U76" i="7"/>
  <c r="P78" i="7"/>
  <c r="S109" i="9"/>
  <c r="U109" i="9"/>
  <c r="U140" i="8"/>
  <c r="S140" i="8"/>
  <c r="O96" i="1"/>
  <c r="M78" i="7"/>
  <c r="N94" i="9"/>
  <c r="N94" i="1"/>
  <c r="N91" i="1"/>
  <c r="H64" i="12"/>
  <c r="H62" i="2"/>
  <c r="T42" i="1"/>
  <c r="R42" i="1"/>
  <c r="T140" i="7"/>
  <c r="U149" i="9"/>
  <c r="S149" i="9"/>
  <c r="Q96" i="9"/>
  <c r="M9" i="15"/>
  <c r="M25" i="15"/>
  <c r="M30" i="15"/>
  <c r="J88" i="7"/>
  <c r="J78" i="1"/>
  <c r="T62" i="1"/>
  <c r="U62" i="1"/>
  <c r="S62" i="1"/>
  <c r="R62" i="1"/>
  <c r="N76" i="1"/>
  <c r="T76" i="8"/>
  <c r="T20" i="1"/>
  <c r="T144" i="1"/>
  <c r="U144" i="1"/>
  <c r="R144" i="1"/>
  <c r="S144" i="1"/>
  <c r="U158" i="9"/>
  <c r="S158" i="9"/>
  <c r="P158" i="1"/>
  <c r="J96" i="7"/>
  <c r="J96" i="1"/>
  <c r="J88" i="1"/>
  <c r="P88" i="7"/>
  <c r="U78" i="7"/>
  <c r="S78" i="7"/>
  <c r="H64" i="2"/>
  <c r="H66" i="2"/>
  <c r="H66" i="12"/>
  <c r="T162" i="1"/>
  <c r="T167" i="1"/>
  <c r="U162" i="1"/>
  <c r="R162" i="1"/>
  <c r="R167" i="1"/>
  <c r="S162" i="1"/>
  <c r="P94" i="9"/>
  <c r="L94" i="1"/>
  <c r="U167" i="9"/>
  <c r="S167" i="9"/>
  <c r="P167" i="1"/>
  <c r="T91" i="9"/>
  <c r="T94" i="9"/>
  <c r="T96" i="9"/>
  <c r="S91" i="9"/>
  <c r="R91" i="9"/>
  <c r="R94" i="9"/>
  <c r="R96" i="9"/>
  <c r="U91" i="9"/>
  <c r="P91" i="1"/>
  <c r="H9" i="3"/>
  <c r="H25" i="3"/>
  <c r="H30" i="3"/>
  <c r="H25" i="13"/>
  <c r="N11" i="14"/>
  <c r="O11" i="14"/>
  <c r="L11" i="3"/>
  <c r="U76" i="1"/>
  <c r="H25" i="15"/>
  <c r="L9" i="15"/>
  <c r="J64" i="12"/>
  <c r="M62" i="12"/>
  <c r="N62" i="12"/>
  <c r="J62" i="2"/>
  <c r="U149" i="1"/>
  <c r="S149" i="1"/>
  <c r="T54" i="1"/>
  <c r="T76" i="1"/>
  <c r="U54" i="1"/>
  <c r="R54" i="1"/>
  <c r="R76" i="1"/>
  <c r="S54" i="1"/>
  <c r="S76" i="9"/>
  <c r="U76" i="9"/>
  <c r="L96" i="9"/>
  <c r="N11" i="15"/>
  <c r="O11" i="15"/>
  <c r="N9" i="14"/>
  <c r="O9" i="14"/>
  <c r="L25" i="14"/>
  <c r="O23" i="3"/>
  <c r="N23" i="3"/>
  <c r="R34" i="1"/>
  <c r="R45" i="1"/>
  <c r="R78" i="1"/>
  <c r="R88" i="1"/>
  <c r="Q96" i="1"/>
  <c r="S8" i="1"/>
  <c r="U8" i="1"/>
  <c r="S158" i="1"/>
  <c r="U158" i="1"/>
  <c r="M88" i="7"/>
  <c r="M78" i="1"/>
  <c r="P88" i="9"/>
  <c r="S78" i="9"/>
  <c r="P78" i="8"/>
  <c r="S45" i="8"/>
  <c r="P45" i="1"/>
  <c r="U45" i="8"/>
  <c r="M45" i="2"/>
  <c r="N45" i="2"/>
  <c r="L96" i="1"/>
  <c r="T149" i="1"/>
  <c r="N96" i="9"/>
  <c r="H30" i="14"/>
  <c r="I7" i="14"/>
  <c r="I25" i="14"/>
  <c r="U140" i="1"/>
  <c r="S140" i="1"/>
  <c r="U78" i="9"/>
  <c r="H96" i="7"/>
  <c r="H96" i="1"/>
  <c r="H88" i="1"/>
  <c r="I66" i="12"/>
  <c r="I64" i="2"/>
  <c r="I66" i="2"/>
  <c r="G88" i="1"/>
  <c r="G96" i="8"/>
  <c r="N96" i="7"/>
  <c r="N96" i="1"/>
  <c r="N88" i="1"/>
  <c r="J9" i="13"/>
  <c r="J9" i="3"/>
  <c r="R149" i="1"/>
  <c r="T34" i="1"/>
  <c r="T45" i="1"/>
  <c r="T78" i="1"/>
  <c r="T88" i="1"/>
  <c r="T78" i="8"/>
  <c r="T88" i="8"/>
  <c r="T96" i="8"/>
  <c r="G96" i="9"/>
  <c r="U88" i="9"/>
  <c r="M25" i="13"/>
  <c r="M30" i="13"/>
  <c r="M9" i="3"/>
  <c r="M25" i="3"/>
  <c r="M30" i="3"/>
  <c r="J7" i="14"/>
  <c r="J25" i="14"/>
  <c r="I30" i="14"/>
  <c r="M64" i="12"/>
  <c r="M66" i="12"/>
  <c r="N64" i="12"/>
  <c r="N66" i="12"/>
  <c r="J66" i="12"/>
  <c r="J64" i="2"/>
  <c r="I7" i="13"/>
  <c r="H30" i="13"/>
  <c r="U167" i="1"/>
  <c r="S167" i="1"/>
  <c r="P88" i="8"/>
  <c r="S78" i="8"/>
  <c r="U78" i="8"/>
  <c r="I9" i="13"/>
  <c r="M96" i="7"/>
  <c r="M96" i="1"/>
  <c r="M88" i="1"/>
  <c r="M62" i="2"/>
  <c r="N62" i="2"/>
  <c r="N11" i="3"/>
  <c r="O11" i="3"/>
  <c r="S94" i="9"/>
  <c r="U94" i="9"/>
  <c r="P94" i="1"/>
  <c r="G96" i="1"/>
  <c r="N9" i="15"/>
  <c r="O9" i="15"/>
  <c r="L25" i="15"/>
  <c r="P78" i="1"/>
  <c r="S45" i="1"/>
  <c r="U45" i="1"/>
  <c r="P96" i="9"/>
  <c r="S96" i="9"/>
  <c r="S88" i="9"/>
  <c r="O25" i="14"/>
  <c r="L30" i="14"/>
  <c r="N25" i="14"/>
  <c r="I7" i="15"/>
  <c r="I25" i="15"/>
  <c r="H30" i="15"/>
  <c r="T91" i="1"/>
  <c r="T94" i="1"/>
  <c r="T96" i="1"/>
  <c r="U91" i="1"/>
  <c r="R91" i="1"/>
  <c r="R94" i="1"/>
  <c r="R96" i="1"/>
  <c r="S91" i="1"/>
  <c r="P96" i="7"/>
  <c r="P88" i="1"/>
  <c r="S88" i="1"/>
  <c r="U88" i="7"/>
  <c r="S88" i="7"/>
  <c r="N25" i="15"/>
  <c r="O25" i="15"/>
  <c r="L30" i="15"/>
  <c r="I9" i="3"/>
  <c r="L9" i="13"/>
  <c r="I30" i="15"/>
  <c r="J7" i="15"/>
  <c r="J25" i="15"/>
  <c r="M64" i="2"/>
  <c r="M66" i="2"/>
  <c r="N64" i="2"/>
  <c r="N66" i="2"/>
  <c r="J66" i="2"/>
  <c r="U88" i="1"/>
  <c r="U96" i="9"/>
  <c r="K7" i="14"/>
  <c r="K25" i="14"/>
  <c r="K30" i="14"/>
  <c r="J30" i="14"/>
  <c r="I25" i="13"/>
  <c r="I7" i="3"/>
  <c r="I25" i="3"/>
  <c r="I30" i="3"/>
  <c r="U96" i="7"/>
  <c r="S96" i="7"/>
  <c r="S78" i="1"/>
  <c r="U78" i="1"/>
  <c r="U94" i="1"/>
  <c r="S94" i="1"/>
  <c r="P96" i="8"/>
  <c r="S88" i="8"/>
  <c r="U88" i="8"/>
  <c r="J7" i="13"/>
  <c r="I30" i="13"/>
  <c r="S96" i="8"/>
  <c r="U96" i="8"/>
  <c r="J30" i="15"/>
  <c r="K7" i="15"/>
  <c r="K25" i="15"/>
  <c r="K30" i="15"/>
  <c r="P96" i="1"/>
  <c r="N9" i="13"/>
  <c r="L25" i="13"/>
  <c r="L9" i="3"/>
  <c r="O9" i="13"/>
  <c r="N25" i="13"/>
  <c r="O25" i="13"/>
  <c r="L30" i="13"/>
  <c r="S96" i="1"/>
  <c r="U96" i="1"/>
  <c r="N9" i="3"/>
  <c r="O9" i="3"/>
  <c r="L25" i="3"/>
  <c r="J25" i="13"/>
  <c r="J7" i="3"/>
  <c r="J25" i="3"/>
  <c r="J30" i="3"/>
  <c r="N25" i="3"/>
  <c r="L30" i="3"/>
  <c r="O25" i="3"/>
  <c r="K7" i="13"/>
  <c r="J30" i="13"/>
  <c r="K7" i="3"/>
  <c r="K25" i="3"/>
  <c r="K30" i="3"/>
  <c r="K25" i="13"/>
  <c r="K30" i="13"/>
</calcChain>
</file>

<file path=xl/comments1.xml><?xml version="1.0" encoding="utf-8"?>
<comments xmlns="http://schemas.openxmlformats.org/spreadsheetml/2006/main">
  <authors>
    <author>Cynthia Toran</author>
  </authors>
  <commentList>
    <comment ref="Q72" authorId="0" shapeId="0">
      <text>
        <r>
          <rPr>
            <b/>
            <sz val="9"/>
            <color indexed="81"/>
            <rFont val="Verdana"/>
            <family val="2"/>
          </rPr>
          <t>Bill Mayers</t>
        </r>
        <r>
          <rPr>
            <sz val="9"/>
            <color indexed="81"/>
            <rFont val="Verdana"/>
            <family val="2"/>
          </rPr>
          <t xml:space="preserve">
web design = $3000</t>
        </r>
      </text>
    </comment>
  </commentList>
</comments>
</file>

<file path=xl/sharedStrings.xml><?xml version="1.0" encoding="utf-8"?>
<sst xmlns="http://schemas.openxmlformats.org/spreadsheetml/2006/main" count="1104" uniqueCount="448">
  <si>
    <t>Miscellaneous Income</t>
    <phoneticPr fontId="3" type="noConversion"/>
  </si>
  <si>
    <t>CAC Funded Activities</t>
    <phoneticPr fontId="3" type="noConversion"/>
  </si>
  <si>
    <t>Internet/Web/Telephone</t>
    <phoneticPr fontId="3" type="noConversion"/>
  </si>
  <si>
    <t>Alpine Lodge - Operations - Total</t>
    <phoneticPr fontId="3" type="noConversion"/>
  </si>
  <si>
    <t>Echo Lodge - Operations - Total</t>
    <phoneticPr fontId="3" type="noConversion"/>
  </si>
  <si>
    <t>CAC - Operations - Total</t>
    <phoneticPr fontId="3" type="noConversion"/>
  </si>
  <si>
    <t>Garbage Service</t>
    <phoneticPr fontId="3" type="noConversion"/>
  </si>
  <si>
    <t>4080b</t>
    <phoneticPr fontId="3" type="noConversion"/>
  </si>
  <si>
    <t>Budget data is required only for Totals items and optional for individual line items.</t>
    <phoneticPr fontId="3" type="noConversion"/>
  </si>
  <si>
    <t>Total Transfers should be zero at the Consolidated level.</t>
    <phoneticPr fontId="3" type="noConversion"/>
  </si>
  <si>
    <t>Improvement descriptions will be relevant only at the individual entity level; Consolidated level can sum Total only.</t>
    <phoneticPr fontId="3" type="noConversion"/>
  </si>
  <si>
    <t>Federal Income Tax</t>
    <phoneticPr fontId="3" type="noConversion"/>
  </si>
  <si>
    <t>CA Franchise Tax</t>
    <phoneticPr fontId="3" type="noConversion"/>
  </si>
  <si>
    <t>TRANSFERS IN/(OUT)</t>
    <phoneticPr fontId="3" type="noConversion"/>
  </si>
  <si>
    <t>TRANSFERS IN/(OUT)</t>
    <phoneticPr fontId="3" type="noConversion"/>
  </si>
  <si>
    <t>Improvements - Current Year</t>
    <phoneticPr fontId="3" type="noConversion"/>
  </si>
  <si>
    <t>Budget ($)</t>
    <phoneticPr fontId="3" type="noConversion"/>
  </si>
  <si>
    <t>Budget ($)</t>
    <phoneticPr fontId="3" type="noConversion"/>
  </si>
  <si>
    <t>Budget (%)</t>
    <phoneticPr fontId="3" type="noConversion"/>
  </si>
  <si>
    <t>vs. LY ($)</t>
    <phoneticPr fontId="3" type="noConversion"/>
  </si>
  <si>
    <t>Budget</t>
    <phoneticPr fontId="3" type="noConversion"/>
  </si>
  <si>
    <t>Wood Stoves</t>
    <phoneticPr fontId="3" type="noConversion"/>
  </si>
  <si>
    <t>Kitchen Equipment</t>
    <phoneticPr fontId="3" type="noConversion"/>
  </si>
  <si>
    <t>Kitchen Equipment</t>
    <phoneticPr fontId="3" type="noConversion"/>
  </si>
  <si>
    <t>Furniture &amp; Fixtures</t>
    <phoneticPr fontId="3" type="noConversion"/>
  </si>
  <si>
    <t>Power Generator</t>
    <phoneticPr fontId="3" type="noConversion"/>
  </si>
  <si>
    <t>TOTAL RECEIVABLES</t>
    <phoneticPr fontId="3" type="noConversion"/>
  </si>
  <si>
    <t>Alpine Lodge</t>
    <phoneticPr fontId="3" type="noConversion"/>
  </si>
  <si>
    <t>Durable Equipment</t>
    <phoneticPr fontId="3" type="noConversion"/>
  </si>
  <si>
    <t>Durable Equipment</t>
    <phoneticPr fontId="3" type="noConversion"/>
  </si>
  <si>
    <t>TOTAL</t>
    <phoneticPr fontId="3" type="noConversion"/>
  </si>
  <si>
    <t>TOTAL</t>
    <phoneticPr fontId="3" type="noConversion"/>
  </si>
  <si>
    <t>Unrestricted Equity</t>
    <phoneticPr fontId="3" type="noConversion"/>
  </si>
  <si>
    <t>Unrestricted Equity</t>
    <phoneticPr fontId="3" type="noConversion"/>
  </si>
  <si>
    <t>Note:  Cash Balance does not include American Century Fund Investment</t>
    <phoneticPr fontId="3" type="noConversion"/>
  </si>
  <si>
    <t>Current Quarter:</t>
    <phoneticPr fontId="3" type="noConversion"/>
  </si>
  <si>
    <t>Current Quarter:</t>
    <phoneticPr fontId="3" type="noConversion"/>
  </si>
  <si>
    <t>Loan Receivable - Echo Lodge</t>
    <phoneticPr fontId="3" type="noConversion"/>
  </si>
  <si>
    <t>TOTAL ESL CASH</t>
    <phoneticPr fontId="3" type="noConversion"/>
  </si>
  <si>
    <t>TOTAL AL CASH</t>
    <phoneticPr fontId="3" type="noConversion"/>
  </si>
  <si>
    <t>TOTAL ASSETS</t>
    <phoneticPr fontId="3" type="noConversion"/>
  </si>
  <si>
    <t>Due to CAC Foundation</t>
    <phoneticPr fontId="3" type="noConversion"/>
  </si>
  <si>
    <t>Motel Tax Payable</t>
    <phoneticPr fontId="3" type="noConversion"/>
  </si>
  <si>
    <t>Accommodation Deposits</t>
    <phoneticPr fontId="3" type="noConversion"/>
  </si>
  <si>
    <t>LIABILITIES</t>
    <phoneticPr fontId="3" type="noConversion"/>
  </si>
  <si>
    <t>TOTAL LIABILITIES</t>
    <phoneticPr fontId="3" type="noConversion"/>
  </si>
  <si>
    <t>EQUITY</t>
    <phoneticPr fontId="3" type="noConversion"/>
  </si>
  <si>
    <t>TOTAL OPERATING EXPENSE</t>
  </si>
  <si>
    <t>Electricity</t>
    <phoneticPr fontId="3" type="noConversion"/>
  </si>
  <si>
    <t>Propane</t>
    <phoneticPr fontId="3" type="noConversion"/>
  </si>
  <si>
    <t>Heat</t>
    <phoneticPr fontId="3" type="noConversion"/>
  </si>
  <si>
    <t>Supplies</t>
    <phoneticPr fontId="3" type="noConversion"/>
  </si>
  <si>
    <t>Pantry Food</t>
    <phoneticPr fontId="3" type="noConversion"/>
  </si>
  <si>
    <t>Housekeeping</t>
    <phoneticPr fontId="3" type="noConversion"/>
  </si>
  <si>
    <t>Kitchen</t>
    <phoneticPr fontId="3" type="noConversion"/>
  </si>
  <si>
    <t>First Aid</t>
    <phoneticPr fontId="3" type="noConversion"/>
  </si>
  <si>
    <t>TOTAL Supplies</t>
    <phoneticPr fontId="3" type="noConversion"/>
  </si>
  <si>
    <t>TOTAL Utilities</t>
    <phoneticPr fontId="3" type="noConversion"/>
  </si>
  <si>
    <t>Echo Lodge</t>
    <phoneticPr fontId="3" type="noConversion"/>
  </si>
  <si>
    <t>CAC</t>
    <phoneticPr fontId="3" type="noConversion"/>
  </si>
  <si>
    <t>Total Transfers</t>
    <phoneticPr fontId="3" type="noConversion"/>
  </si>
  <si>
    <t>BEGINNING CASH BALANCE</t>
    <phoneticPr fontId="3" type="noConversion"/>
  </si>
  <si>
    <t>ENDING CASH BALANCE</t>
    <phoneticPr fontId="3" type="noConversion"/>
  </si>
  <si>
    <t>Total Change in Liabilities</t>
    <phoneticPr fontId="3" type="noConversion"/>
  </si>
  <si>
    <t>Total Change in Receivables</t>
    <phoneticPr fontId="3" type="noConversion"/>
  </si>
  <si>
    <t xml:space="preserve">Net Income (Loss) </t>
    <phoneticPr fontId="3" type="noConversion"/>
  </si>
  <si>
    <t>Less:  Improvements</t>
    <phoneticPr fontId="3" type="noConversion"/>
  </si>
  <si>
    <t>Transfers In/Out:</t>
    <phoneticPr fontId="3" type="noConversion"/>
  </si>
  <si>
    <t>Notes:</t>
    <phoneticPr fontId="3" type="noConversion"/>
  </si>
  <si>
    <t>Loan - CAC to Alpine</t>
    <phoneticPr fontId="3" type="noConversion"/>
  </si>
  <si>
    <t>Loan - CAC to Echo</t>
    <phoneticPr fontId="3" type="noConversion"/>
  </si>
  <si>
    <t>Check:</t>
    <phoneticPr fontId="3" type="noConversion"/>
  </si>
  <si>
    <t>Cash Per Bal Sheet</t>
    <phoneticPr fontId="3" type="noConversion"/>
  </si>
  <si>
    <t>Difference (should be zero)</t>
    <phoneticPr fontId="3" type="noConversion"/>
  </si>
  <si>
    <t>Private Events - Outside</t>
    <phoneticPr fontId="3" type="noConversion"/>
  </si>
  <si>
    <t>TOTAL EQUITY</t>
    <phoneticPr fontId="3" type="noConversion"/>
  </si>
  <si>
    <t>Houseware &amp; Linens</t>
  </si>
  <si>
    <t>Garden</t>
  </si>
  <si>
    <t>Loan Payable - Echo Lodge</t>
    <phoneticPr fontId="3" type="noConversion"/>
  </si>
  <si>
    <t>3112-3123</t>
    <phoneticPr fontId="3" type="noConversion"/>
  </si>
  <si>
    <t>FYE</t>
    <phoneticPr fontId="3" type="noConversion"/>
  </si>
  <si>
    <t>FYE</t>
    <phoneticPr fontId="3" type="noConversion"/>
  </si>
  <si>
    <t>CAC</t>
    <phoneticPr fontId="3" type="noConversion"/>
  </si>
  <si>
    <t>CAC</t>
    <phoneticPr fontId="3" type="noConversion"/>
  </si>
  <si>
    <t>Consolidated</t>
    <phoneticPr fontId="3" type="noConversion"/>
  </si>
  <si>
    <t>Water Heaters</t>
    <phoneticPr fontId="3" type="noConversion"/>
  </si>
  <si>
    <t>Wood Stoves</t>
    <phoneticPr fontId="3" type="noConversion"/>
  </si>
  <si>
    <t>CAC CD+MM</t>
    <phoneticPr fontId="3" type="noConversion"/>
  </si>
  <si>
    <t>Check:  Assets = Liab + Equity (should be zero)</t>
    <phoneticPr fontId="3" type="noConversion"/>
  </si>
  <si>
    <t>Quarter:</t>
    <phoneticPr fontId="3" type="noConversion"/>
  </si>
  <si>
    <t>Entries are required for Improvements detail but optional for Expense detail; if no Expense detail is desired, simply enter the total in a single account for that Expense.</t>
    <phoneticPr fontId="3" type="noConversion"/>
  </si>
  <si>
    <t>Property Tax</t>
    <phoneticPr fontId="3" type="noConversion"/>
  </si>
  <si>
    <t>Trail Clearing</t>
    <phoneticPr fontId="3" type="noConversion"/>
  </si>
  <si>
    <t>Equipment Rental</t>
    <phoneticPr fontId="3" type="noConversion"/>
  </si>
  <si>
    <t>Federal Land Use Fees</t>
    <phoneticPr fontId="3" type="noConversion"/>
  </si>
  <si>
    <t>Insurance</t>
    <phoneticPr fontId="3" type="noConversion"/>
  </si>
  <si>
    <t>Miscellaneous Exp</t>
    <phoneticPr fontId="3" type="noConversion"/>
  </si>
  <si>
    <t>Accounting Fees</t>
    <phoneticPr fontId="3" type="noConversion"/>
  </si>
  <si>
    <t>Bank Charges</t>
    <phoneticPr fontId="3" type="noConversion"/>
  </si>
  <si>
    <t>Office Exp &amp; Postage</t>
    <phoneticPr fontId="3" type="noConversion"/>
  </si>
  <si>
    <t>Publications - Printing</t>
    <phoneticPr fontId="3" type="noConversion"/>
  </si>
  <si>
    <t>Publications - Mailing Service</t>
    <phoneticPr fontId="3" type="noConversion"/>
  </si>
  <si>
    <t>ESL CD+MM</t>
  </si>
  <si>
    <t>TOTAL ESL CASH</t>
  </si>
  <si>
    <t>Dues Expense</t>
    <phoneticPr fontId="3" type="noConversion"/>
  </si>
  <si>
    <t>TOTAL INCOME from Operations</t>
    <phoneticPr fontId="3" type="noConversion"/>
  </si>
  <si>
    <t>TOTAL OPERATING EXPENSE</t>
    <phoneticPr fontId="3" type="noConversion"/>
  </si>
  <si>
    <t>NET OPERATING INCOME</t>
    <phoneticPr fontId="3" type="noConversion"/>
  </si>
  <si>
    <t>Dividend Income</t>
    <phoneticPr fontId="3" type="noConversion"/>
  </si>
  <si>
    <t>Events at Alpine - Gross</t>
    <phoneticPr fontId="3" type="noConversion"/>
  </si>
  <si>
    <t>Donations</t>
    <phoneticPr fontId="3" type="noConversion"/>
  </si>
  <si>
    <t>vs. LY (%)</t>
    <phoneticPr fontId="3" type="noConversion"/>
  </si>
  <si>
    <t>Description 10</t>
  </si>
  <si>
    <t>Description 11</t>
  </si>
  <si>
    <t>Description 12</t>
  </si>
  <si>
    <t>Description 13</t>
  </si>
  <si>
    <t>Description 14</t>
  </si>
  <si>
    <t>Description 15</t>
  </si>
  <si>
    <t>Reserved - Other</t>
    <phoneticPr fontId="3" type="noConversion"/>
  </si>
  <si>
    <t>Improvement Reserves:</t>
    <phoneticPr fontId="3" type="noConversion"/>
  </si>
  <si>
    <t>Improvement Reserves:</t>
    <phoneticPr fontId="3" type="noConversion"/>
  </si>
  <si>
    <t>Lodge Main Building</t>
    <phoneticPr fontId="3" type="noConversion"/>
  </si>
  <si>
    <t>Other Buildings</t>
    <phoneticPr fontId="3" type="noConversion"/>
  </si>
  <si>
    <t>Water System</t>
    <phoneticPr fontId="3" type="noConversion"/>
  </si>
  <si>
    <t>Septic System</t>
    <phoneticPr fontId="3" type="noConversion"/>
  </si>
  <si>
    <t>Lodge Deposit Forfeits</t>
    <phoneticPr fontId="3" type="noConversion"/>
  </si>
  <si>
    <t>Donations</t>
    <phoneticPr fontId="3" type="noConversion"/>
  </si>
  <si>
    <t>Member Entrance Fees</t>
    <phoneticPr fontId="3" type="noConversion"/>
  </si>
  <si>
    <t>vs. LY</t>
    <phoneticPr fontId="3" type="noConversion"/>
  </si>
  <si>
    <t>TOTAL LIABILITIES &amp; EQUITY</t>
    <phoneticPr fontId="3" type="noConversion"/>
  </si>
  <si>
    <t>INCOME STATEMENT</t>
    <phoneticPr fontId="3" type="noConversion"/>
  </si>
  <si>
    <t>YTD</t>
    <phoneticPr fontId="3" type="noConversion"/>
  </si>
  <si>
    <t>YTD</t>
    <phoneticPr fontId="3" type="noConversion"/>
  </si>
  <si>
    <t>Check:  Assets = Liab + Equity</t>
    <phoneticPr fontId="3" type="noConversion"/>
  </si>
  <si>
    <t>4080a</t>
    <phoneticPr fontId="3" type="noConversion"/>
  </si>
  <si>
    <t>5183a</t>
    <phoneticPr fontId="3" type="noConversion"/>
  </si>
  <si>
    <t>5183c</t>
    <phoneticPr fontId="3" type="noConversion"/>
  </si>
  <si>
    <t>5212b</t>
    <phoneticPr fontId="3" type="noConversion"/>
  </si>
  <si>
    <t>TOTAL</t>
    <phoneticPr fontId="3" type="noConversion"/>
  </si>
  <si>
    <t>Qtr Ended</t>
    <phoneticPr fontId="3" type="noConversion"/>
  </si>
  <si>
    <t>Actual vs.</t>
    <phoneticPr fontId="3" type="noConversion"/>
  </si>
  <si>
    <t>Current Yr</t>
    <phoneticPr fontId="3" type="noConversion"/>
  </si>
  <si>
    <t>TOTAL Improvements</t>
    <phoneticPr fontId="3" type="noConversion"/>
  </si>
  <si>
    <t>ESL Checking</t>
    <phoneticPr fontId="3" type="noConversion"/>
  </si>
  <si>
    <t>ESL Savings</t>
    <phoneticPr fontId="3" type="noConversion"/>
  </si>
  <si>
    <t>ESL CD+MM</t>
    <phoneticPr fontId="3" type="noConversion"/>
  </si>
  <si>
    <t>AL Checking</t>
    <phoneticPr fontId="3" type="noConversion"/>
  </si>
  <si>
    <t>AL Savings</t>
    <phoneticPr fontId="3" type="noConversion"/>
  </si>
  <si>
    <t>Housewares/Linen</t>
    <phoneticPr fontId="3" type="noConversion"/>
  </si>
  <si>
    <t>Housewares/Linen</t>
    <phoneticPr fontId="3" type="noConversion"/>
  </si>
  <si>
    <t>TOTAL CAC CONSOL CASH</t>
    <phoneticPr fontId="3" type="noConversion"/>
  </si>
  <si>
    <t>CASH</t>
    <phoneticPr fontId="3" type="noConversion"/>
  </si>
  <si>
    <t>American  Century Fund</t>
    <phoneticPr fontId="3" type="noConversion"/>
  </si>
  <si>
    <t>INVESTMENTS</t>
    <phoneticPr fontId="3" type="noConversion"/>
  </si>
  <si>
    <t>TOTAL INVESTMENTS</t>
    <phoneticPr fontId="3" type="noConversion"/>
  </si>
  <si>
    <t>ACCOUNTS / NOTES RECEIVABLE</t>
    <phoneticPr fontId="3" type="noConversion"/>
  </si>
  <si>
    <t>Loan Receivable - Alpine Lodge</t>
    <phoneticPr fontId="3" type="noConversion"/>
  </si>
  <si>
    <t>Garbage Service</t>
  </si>
  <si>
    <t>Cleaning &amp; Laundry</t>
  </si>
  <si>
    <t>Work Parties</t>
  </si>
  <si>
    <t>Host Training</t>
  </si>
  <si>
    <t>Trail Clearing</t>
  </si>
  <si>
    <t>Equipment Rental</t>
  </si>
  <si>
    <t>8260a</t>
  </si>
  <si>
    <t>Property Tax</t>
  </si>
  <si>
    <t>Federal Income Tax</t>
  </si>
  <si>
    <t>CA Franchise Tax</t>
  </si>
  <si>
    <t>Federal Land Use Fees</t>
  </si>
  <si>
    <t>Accounting Fees</t>
  </si>
  <si>
    <t>Dues Expense</t>
  </si>
  <si>
    <t>Office Expense</t>
  </si>
  <si>
    <t>Publications - Printing</t>
  </si>
  <si>
    <t>Publications - Mailing Service</t>
  </si>
  <si>
    <t>Miscellaneous Exp</t>
  </si>
  <si>
    <t>8111e</t>
  </si>
  <si>
    <t>Kitchen</t>
  </si>
  <si>
    <t>NET OPERATING INCOME</t>
  </si>
  <si>
    <t>OTHER INCOME</t>
  </si>
  <si>
    <t>Dividend Income</t>
  </si>
  <si>
    <t>American Century</t>
  </si>
  <si>
    <t>Interest Received</t>
  </si>
  <si>
    <t>OTHER EXPENSE</t>
  </si>
  <si>
    <t>NET INCOME (LOSS)</t>
  </si>
  <si>
    <t>IMPROVEMENTS:</t>
  </si>
  <si>
    <t>Echo Summit Lodge</t>
  </si>
  <si>
    <t>TOTAL IMPROVEMENTS</t>
  </si>
  <si>
    <t>TOTAL INCOME (LOSS)</t>
  </si>
  <si>
    <t>TOTAL Insurance</t>
    <phoneticPr fontId="3" type="noConversion"/>
  </si>
  <si>
    <t>Office Expense</t>
    <phoneticPr fontId="3" type="noConversion"/>
  </si>
  <si>
    <t>Printing/Copying</t>
    <phoneticPr fontId="3" type="noConversion"/>
  </si>
  <si>
    <t>Office Supplies &amp; Postage</t>
    <phoneticPr fontId="3" type="noConversion"/>
  </si>
  <si>
    <t>P.O. Box</t>
    <phoneticPr fontId="3" type="noConversion"/>
  </si>
  <si>
    <t>TOTAL Office Expense</t>
    <phoneticPr fontId="3" type="noConversion"/>
  </si>
  <si>
    <t>CALIFORNIA ALPINE CLUB</t>
    <phoneticPr fontId="3" type="noConversion"/>
  </si>
  <si>
    <t>INCOME from Operations</t>
    <phoneticPr fontId="3" type="noConversion"/>
  </si>
  <si>
    <t>General Membership Dues</t>
    <phoneticPr fontId="3" type="noConversion"/>
  </si>
  <si>
    <t>Donations</t>
    <phoneticPr fontId="3" type="noConversion"/>
  </si>
  <si>
    <t>Office Expense</t>
    <phoneticPr fontId="3" type="noConversion"/>
  </si>
  <si>
    <t>Other</t>
    <phoneticPr fontId="3" type="noConversion"/>
  </si>
  <si>
    <t>OPERATING EXPENSES:</t>
    <phoneticPr fontId="3" type="noConversion"/>
  </si>
  <si>
    <t>NET INCOME (LOSS)</t>
    <phoneticPr fontId="3" type="noConversion"/>
  </si>
  <si>
    <t>Utilities</t>
    <phoneticPr fontId="3" type="noConversion"/>
  </si>
  <si>
    <t>BALANCE SHEET</t>
    <phoneticPr fontId="3" type="noConversion"/>
  </si>
  <si>
    <t>4080b</t>
    <phoneticPr fontId="3" type="noConversion"/>
  </si>
  <si>
    <t>4080b</t>
    <phoneticPr fontId="3" type="noConversion"/>
  </si>
  <si>
    <t>8111a</t>
    <phoneticPr fontId="3" type="noConversion"/>
  </si>
  <si>
    <t>8111b,c</t>
    <phoneticPr fontId="3" type="noConversion"/>
  </si>
  <si>
    <t>8111d</t>
    <phoneticPr fontId="3" type="noConversion"/>
  </si>
  <si>
    <t>8112a</t>
    <phoneticPr fontId="3" type="noConversion"/>
  </si>
  <si>
    <t>8113b</t>
    <phoneticPr fontId="3" type="noConversion"/>
  </si>
  <si>
    <t xml:space="preserve">8113a </t>
    <phoneticPr fontId="3" type="noConversion"/>
  </si>
  <si>
    <t>8113c</t>
    <phoneticPr fontId="3" type="noConversion"/>
  </si>
  <si>
    <t>8112b</t>
    <phoneticPr fontId="3" type="noConversion"/>
  </si>
  <si>
    <t>8111e</t>
    <phoneticPr fontId="3" type="noConversion"/>
  </si>
  <si>
    <t>8260a</t>
    <phoneticPr fontId="3" type="noConversion"/>
  </si>
  <si>
    <t>8260c</t>
    <phoneticPr fontId="3" type="noConversion"/>
  </si>
  <si>
    <t>Other</t>
    <phoneticPr fontId="3" type="noConversion"/>
  </si>
  <si>
    <t>Account</t>
    <phoneticPr fontId="3" type="noConversion"/>
  </si>
  <si>
    <t>Number</t>
    <phoneticPr fontId="3" type="noConversion"/>
  </si>
  <si>
    <t>Loan Payable - Alpine Lodge</t>
    <phoneticPr fontId="3" type="noConversion"/>
  </si>
  <si>
    <t>Loan - Echo to Alpine</t>
    <phoneticPr fontId="3" type="noConversion"/>
  </si>
  <si>
    <t>Total Transfers</t>
    <phoneticPr fontId="3" type="noConversion"/>
  </si>
  <si>
    <t>EXPENSE DETAIL:</t>
    <phoneticPr fontId="3" type="noConversion"/>
  </si>
  <si>
    <t>Commercial</t>
    <phoneticPr fontId="3" type="noConversion"/>
  </si>
  <si>
    <t>D&amp;O Liability</t>
    <phoneticPr fontId="3" type="noConversion"/>
  </si>
  <si>
    <t>Echo Summit Lodge</t>
    <phoneticPr fontId="3" type="noConversion"/>
  </si>
  <si>
    <t>Alpine Lodge</t>
    <phoneticPr fontId="3" type="noConversion"/>
  </si>
  <si>
    <t>Utilities</t>
    <phoneticPr fontId="3" type="noConversion"/>
  </si>
  <si>
    <t>Supplies</t>
    <phoneticPr fontId="3" type="noConversion"/>
  </si>
  <si>
    <t>Cost of Meals - Echo Lodge</t>
    <phoneticPr fontId="3" type="noConversion"/>
  </si>
  <si>
    <t>Repairs &amp; Maintenance</t>
    <phoneticPr fontId="3" type="noConversion"/>
  </si>
  <si>
    <t>Septic Tank</t>
    <phoneticPr fontId="3" type="noConversion"/>
  </si>
  <si>
    <t>Cleaning &amp; Laundry</t>
    <phoneticPr fontId="3" type="noConversion"/>
  </si>
  <si>
    <t>Work Parties</t>
    <phoneticPr fontId="3" type="noConversion"/>
  </si>
  <si>
    <t>Host Training</t>
    <phoneticPr fontId="3" type="noConversion"/>
  </si>
  <si>
    <t>Total Transfers should be zero at the Consolidated level.</t>
  </si>
  <si>
    <t>Improvement descriptions will be relevant only at the individual entity level; Consolidated level can sum Total only.</t>
  </si>
  <si>
    <t>BALANCE SHEET</t>
  </si>
  <si>
    <t>Quarter:</t>
  </si>
  <si>
    <t>CASH</t>
  </si>
  <si>
    <t>CAC Wells Fargo Checking</t>
  </si>
  <si>
    <t>CAC Reserve Fund</t>
  </si>
  <si>
    <t>CAC CD+MM</t>
  </si>
  <si>
    <t>TOTAL CAC CASH</t>
  </si>
  <si>
    <t>ESL Checking</t>
  </si>
  <si>
    <t>ESL Savings</t>
  </si>
  <si>
    <t>AL Checking</t>
  </si>
  <si>
    <t>AL Savings</t>
  </si>
  <si>
    <t>AL CD+MM</t>
  </si>
  <si>
    <t>TOTAL AL CASH</t>
  </si>
  <si>
    <t>TOTAL CAC CONSOL CASH</t>
  </si>
  <si>
    <t>INVESTMENTS</t>
  </si>
  <si>
    <t>American  Century Fund</t>
  </si>
  <si>
    <t>TOTAL INVESTMENTS</t>
  </si>
  <si>
    <t>ACCOUNTS / NOTES RECEIVABLE</t>
  </si>
  <si>
    <t>Loan Receivable - Alpine Lodge</t>
  </si>
  <si>
    <t>Loan Receivable - Echo Lodge</t>
  </si>
  <si>
    <t>TOTAL RECEIVABLES</t>
  </si>
  <si>
    <t>Accommodations Outside</t>
    <phoneticPr fontId="3" type="noConversion"/>
  </si>
  <si>
    <t>Accommodations Members</t>
    <phoneticPr fontId="3" type="noConversion"/>
  </si>
  <si>
    <t>Larry Rent</t>
    <phoneticPr fontId="3" type="noConversion"/>
  </si>
  <si>
    <t>Alpine Lodge</t>
    <phoneticPr fontId="3" type="noConversion"/>
  </si>
  <si>
    <t>Meals Revenue</t>
    <phoneticPr fontId="3" type="noConversion"/>
  </si>
  <si>
    <t>Lodging Revenue</t>
    <phoneticPr fontId="3" type="noConversion"/>
  </si>
  <si>
    <t>Private Events - Members</t>
    <phoneticPr fontId="3" type="noConversion"/>
  </si>
  <si>
    <t>CALIFORNIA ALPINE CLUB</t>
  </si>
  <si>
    <t>Alpine Lodge</t>
  </si>
  <si>
    <t>INCOME STATEMENT</t>
  </si>
  <si>
    <t>Current Quarter:</t>
  </si>
  <si>
    <t>TOTAL</t>
  </si>
  <si>
    <t>Associate Member Dues</t>
    <phoneticPr fontId="3" type="noConversion"/>
  </si>
  <si>
    <t>Current Yr</t>
  </si>
  <si>
    <t>STATEMENT OF CASH FLOW</t>
    <phoneticPr fontId="3" type="noConversion"/>
  </si>
  <si>
    <t>Grant Transfer to Alpine Lodge</t>
    <phoneticPr fontId="3" type="noConversion"/>
  </si>
  <si>
    <t>Grant Transfer to Echo Lodge</t>
    <phoneticPr fontId="3" type="noConversion"/>
  </si>
  <si>
    <t>IMPROVEMENTS:</t>
    <phoneticPr fontId="3" type="noConversion"/>
  </si>
  <si>
    <t>Echo Summit Lodge</t>
    <phoneticPr fontId="3" type="noConversion"/>
  </si>
  <si>
    <t>TOTAL IMPROVEMENTS</t>
    <phoneticPr fontId="3" type="noConversion"/>
  </si>
  <si>
    <t>Improvements</t>
    <phoneticPr fontId="3" type="noConversion"/>
  </si>
  <si>
    <t>Description 1</t>
    <phoneticPr fontId="3" type="noConversion"/>
  </si>
  <si>
    <t>Description 2</t>
  </si>
  <si>
    <t>Description 3</t>
  </si>
  <si>
    <t>Description 4</t>
  </si>
  <si>
    <t>Description 5</t>
  </si>
  <si>
    <t>Description 6</t>
  </si>
  <si>
    <t>Description 7</t>
  </si>
  <si>
    <t>Description 8</t>
  </si>
  <si>
    <t>Description 9</t>
  </si>
  <si>
    <t>Private Events - Outside</t>
  </si>
  <si>
    <t>5183c</t>
  </si>
  <si>
    <t>Associate Member Dues</t>
  </si>
  <si>
    <t>5212b</t>
  </si>
  <si>
    <t>Lodge Deposit Forfeits</t>
  </si>
  <si>
    <t>4080a</t>
  </si>
  <si>
    <t>CAC - Operations - Total</t>
  </si>
  <si>
    <t>Member Entrance Fees</t>
  </si>
  <si>
    <t>AL CD+MM</t>
    <phoneticPr fontId="3" type="noConversion"/>
  </si>
  <si>
    <t>TOTAL CAC CASH</t>
    <phoneticPr fontId="3" type="noConversion"/>
  </si>
  <si>
    <t>Cost of Events - Alpine Lodge</t>
  </si>
  <si>
    <t>Cost of Meals - Echo Lodge</t>
  </si>
  <si>
    <t>8112b</t>
  </si>
  <si>
    <t>CAC Funded Activities</t>
  </si>
  <si>
    <t>Repairs &amp; Maintenance</t>
  </si>
  <si>
    <t>8260c</t>
  </si>
  <si>
    <t>Utilities</t>
  </si>
  <si>
    <t>Supplies</t>
  </si>
  <si>
    <t>Insurance</t>
  </si>
  <si>
    <t>Septic Tank</t>
  </si>
  <si>
    <t>Deck Repair - JL Engineering</t>
  </si>
  <si>
    <t>Deck Repair - Salem Howes</t>
  </si>
  <si>
    <t>Deck Repair - Other</t>
  </si>
  <si>
    <t>TOTAL Improvements</t>
  </si>
  <si>
    <t>Commercial</t>
  </si>
  <si>
    <t>D&amp;O Liability</t>
  </si>
  <si>
    <t>Member Accident</t>
  </si>
  <si>
    <t>Umbrella Liability</t>
  </si>
  <si>
    <t>TOTAL Insurance</t>
  </si>
  <si>
    <t>Internet/Web/Telephone</t>
  </si>
  <si>
    <t>Electricity</t>
  </si>
  <si>
    <t>Propane</t>
  </si>
  <si>
    <t>Heat</t>
  </si>
  <si>
    <t>Other</t>
  </si>
  <si>
    <t>TOTAL Utilities</t>
  </si>
  <si>
    <t>Pantry Food</t>
  </si>
  <si>
    <t>8112a</t>
  </si>
  <si>
    <t>Housekeeping</t>
  </si>
  <si>
    <t>8113b</t>
  </si>
  <si>
    <t xml:space="preserve">8113a </t>
  </si>
  <si>
    <t>First Aid</t>
  </si>
  <si>
    <t>8113c</t>
  </si>
  <si>
    <t>TOTAL Supplies</t>
  </si>
  <si>
    <t>Bank Charges</t>
  </si>
  <si>
    <t>8111a</t>
  </si>
  <si>
    <t>Office Supplies &amp; Postage</t>
  </si>
  <si>
    <t>8111b,c</t>
  </si>
  <si>
    <t>Printing/Copying</t>
  </si>
  <si>
    <t>8111d</t>
  </si>
  <si>
    <t>P.O. Box</t>
  </si>
  <si>
    <t>TOTAL Office Expense</t>
  </si>
  <si>
    <t>Notes:</t>
  </si>
  <si>
    <t>TRANSFERS IN/(OUT)</t>
  </si>
  <si>
    <t>Dues Allocation - Alpine Lodge</t>
  </si>
  <si>
    <t>Dues Allocation - Echo Lodge</t>
  </si>
  <si>
    <t>Usage Fee - CAC to Alpine Lodge</t>
  </si>
  <si>
    <t>Grant Transfer to Alpine Lodge</t>
  </si>
  <si>
    <t>Grant Transfer to Echo Lodge</t>
  </si>
  <si>
    <t>Loan - Alpine to Echo</t>
  </si>
  <si>
    <t>Loan - Echo to Alpine</t>
  </si>
  <si>
    <t>Loan - CAC to Echo</t>
  </si>
  <si>
    <t>Loan - CAC to Alpine</t>
  </si>
  <si>
    <t>Total Transfers</t>
  </si>
  <si>
    <t>EXPENSE DETAIL:</t>
  </si>
  <si>
    <t>Member Assessment</t>
    <phoneticPr fontId="3" type="noConversion"/>
  </si>
  <si>
    <t>Septic System</t>
  </si>
  <si>
    <t>Improvements - Current Year</t>
  </si>
  <si>
    <t>Deck Repair - Ofiaro</t>
  </si>
  <si>
    <t>CAC Wells Fargo Checking</t>
    <phoneticPr fontId="3" type="noConversion"/>
  </si>
  <si>
    <t>CAC Reserve Fund</t>
    <phoneticPr fontId="3" type="noConversion"/>
  </si>
  <si>
    <t>American Century</t>
    <phoneticPr fontId="3" type="noConversion"/>
  </si>
  <si>
    <t>Interest Received</t>
    <phoneticPr fontId="3" type="noConversion"/>
  </si>
  <si>
    <t>OTHER INCOME</t>
    <phoneticPr fontId="3" type="noConversion"/>
  </si>
  <si>
    <t>OTHER EXPENSE</t>
    <phoneticPr fontId="3" type="noConversion"/>
  </si>
  <si>
    <t>TOTAL INCOME (LOSS)</t>
    <phoneticPr fontId="3" type="noConversion"/>
  </si>
  <si>
    <t>Dues Allocation - Echo Lodge</t>
    <phoneticPr fontId="3" type="noConversion"/>
  </si>
  <si>
    <t>Dues Allocation - Alpine Lodge</t>
    <phoneticPr fontId="3" type="noConversion"/>
  </si>
  <si>
    <t>Usage Fee - CAC to Alpine Lodge</t>
    <phoneticPr fontId="3" type="noConversion"/>
  </si>
  <si>
    <t>Cost of Events - Alpine Lodge</t>
    <phoneticPr fontId="3" type="noConversion"/>
  </si>
  <si>
    <t>Loan - Alpine to Echo</t>
    <phoneticPr fontId="3" type="noConversion"/>
  </si>
  <si>
    <t>Member Accident</t>
    <phoneticPr fontId="3" type="noConversion"/>
  </si>
  <si>
    <t>Umbrella Liability</t>
    <phoneticPr fontId="3" type="noConversion"/>
  </si>
  <si>
    <t>Insurance</t>
    <phoneticPr fontId="3" type="noConversion"/>
  </si>
  <si>
    <t>TOTAL ASSETS</t>
  </si>
  <si>
    <t>LIABILITIES</t>
  </si>
  <si>
    <t>Due to CAC Foundation</t>
  </si>
  <si>
    <t>Motel Tax Payable</t>
  </si>
  <si>
    <t>Accommodation Deposits</t>
  </si>
  <si>
    <t>Loan Payable - Alpine Lodge</t>
  </si>
  <si>
    <t>Loan Payable - Echo Lodge</t>
  </si>
  <si>
    <t>TOTAL LIABILITIES</t>
  </si>
  <si>
    <t>EQUITY</t>
  </si>
  <si>
    <t>3112-3123</t>
  </si>
  <si>
    <t>Reserved - Other</t>
  </si>
  <si>
    <t>Unrestricted Equity</t>
  </si>
  <si>
    <t>TOTAL EQUITY</t>
  </si>
  <si>
    <t>TOTAL LIABILITIES &amp; EQUITY</t>
  </si>
  <si>
    <t>INCOME from Operations</t>
  </si>
  <si>
    <t>Alpine Lodge - Operations - Total</t>
  </si>
  <si>
    <t>Events at Alpine - Gross</t>
  </si>
  <si>
    <t>Donations</t>
  </si>
  <si>
    <t>4080b</t>
  </si>
  <si>
    <t>Larry Rent</t>
  </si>
  <si>
    <t>Accommodations Outside</t>
  </si>
  <si>
    <t>Accommodations Members</t>
  </si>
  <si>
    <t>Miscellaneous Income</t>
  </si>
  <si>
    <t>Echo Lodge - Operations - Total</t>
  </si>
  <si>
    <t>Lodging Revenue</t>
  </si>
  <si>
    <t>Meals Revenue</t>
  </si>
  <si>
    <t>Private Events - Members</t>
  </si>
  <si>
    <t>5183a</t>
  </si>
  <si>
    <t>General Membership Dues</t>
  </si>
  <si>
    <t>Member Assessment</t>
  </si>
  <si>
    <t>TOTAL INCOME from Operations</t>
  </si>
  <si>
    <t>OPERATING EXPENSES:</t>
  </si>
  <si>
    <t>Entries are required for Improvements detail but optional for Expense detail; if no Expense detail is desired, simply enter the total in a single account for that Expense.</t>
  </si>
  <si>
    <t>Budget data is required only for Totals items and optional for individual line items.</t>
  </si>
  <si>
    <t>Check:  Assets = Liab + Equity (should be zero)</t>
  </si>
  <si>
    <t>Improvement Reserves:</t>
  </si>
  <si>
    <t>Lodge Main Building</t>
  </si>
  <si>
    <t>Other Buildings</t>
  </si>
  <si>
    <t>Water System</t>
  </si>
  <si>
    <t>Water Heaters</t>
  </si>
  <si>
    <t>Wood Stoves</t>
  </si>
  <si>
    <t>Kitchen Equipment</t>
  </si>
  <si>
    <t>Furniture &amp; Fixtures</t>
  </si>
  <si>
    <t>Power Generator</t>
  </si>
  <si>
    <t>Housewares/Linen</t>
  </si>
  <si>
    <t>Durable Equipment</t>
  </si>
  <si>
    <t>Deck Repair_Seely Construct</t>
    <phoneticPr fontId="3" type="noConversion"/>
  </si>
  <si>
    <t>Enter in detail</t>
    <phoneticPr fontId="3" type="noConversion"/>
  </si>
  <si>
    <t>Tam Bldg Apt Rental</t>
  </si>
  <si>
    <t>Centennial</t>
  </si>
  <si>
    <t>Associate Member Fees</t>
  </si>
  <si>
    <t>Reserves for Maintenance and Repairs</t>
  </si>
  <si>
    <t>FYE 3/31/15</t>
  </si>
  <si>
    <t>Wood</t>
  </si>
  <si>
    <t>ADA Bath</t>
  </si>
  <si>
    <t>Lodge main bldg</t>
  </si>
  <si>
    <t>Shed Portico</t>
  </si>
  <si>
    <t>Kitchen modernization</t>
  </si>
  <si>
    <t>Well Pump</t>
  </si>
  <si>
    <t>Septic</t>
  </si>
  <si>
    <t xml:space="preserve">Hardwood insurance reimbursement </t>
  </si>
  <si>
    <t>BEGINNING CASH BALANCE</t>
  </si>
  <si>
    <t>FYE 3/31/16</t>
  </si>
  <si>
    <t>Budget</t>
  </si>
  <si>
    <t>Bathroom renovation</t>
  </si>
  <si>
    <t>Hill Reinforcement</t>
  </si>
  <si>
    <t>Replace Fans</t>
  </si>
  <si>
    <t>Firesprinkler System</t>
  </si>
  <si>
    <t>Covert Rental</t>
  </si>
  <si>
    <t>Update Kitchen Lighting</t>
  </si>
  <si>
    <t>ADA Improvements</t>
  </si>
  <si>
    <t>Replace LR Carpet</t>
  </si>
  <si>
    <t>Replace Wolf Stove</t>
  </si>
  <si>
    <t>Replace 2nd floor beds</t>
  </si>
  <si>
    <t xml:space="preserve">Misc </t>
  </si>
  <si>
    <t>FYE</t>
    <phoneticPr fontId="3" type="noConversion"/>
  </si>
  <si>
    <t>YTD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</si>
</sst>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0"/>
      <name val="Verdana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b/>
      <sz val="10"/>
      <color indexed="10"/>
      <name val="Verdana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sz val="10"/>
      <color indexed="10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Verdana"/>
      <family val="2"/>
    </font>
    <font>
      <b/>
      <sz val="9"/>
      <color indexed="81"/>
      <name val="Verdana"/>
      <family val="2"/>
    </font>
    <font>
      <sz val="9"/>
      <color indexed="81"/>
      <name val="Verdana"/>
      <family val="2"/>
    </font>
    <font>
      <b/>
      <sz val="10"/>
      <name val="Verdana"/>
    </font>
  </fonts>
  <fills count="2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2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</fills>
  <borders count="7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2" borderId="0" applyNumberFormat="0" applyBorder="0" applyAlignment="0" applyProtection="0"/>
    <xf numFmtId="0" fontId="9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4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2" borderId="1" applyNumberFormat="0" applyAlignment="0" applyProtection="0"/>
    <xf numFmtId="0" fontId="13" fillId="13" borderId="2" applyNumberFormat="0" applyAlignment="0" applyProtection="0"/>
    <xf numFmtId="0" fontId="14" fillId="0" borderId="0" applyNumberFormat="0" applyFill="0" applyBorder="0" applyAlignment="0" applyProtection="0"/>
    <xf numFmtId="0" fontId="15" fillId="1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1" applyNumberFormat="0" applyAlignment="0" applyProtection="0"/>
    <xf numFmtId="0" fontId="20" fillId="0" borderId="6" applyNumberFormat="0" applyFill="0" applyAlignment="0" applyProtection="0"/>
    <xf numFmtId="0" fontId="21" fillId="15" borderId="0" applyNumberFormat="0" applyBorder="0" applyAlignment="0" applyProtection="0"/>
    <xf numFmtId="0" fontId="2" fillId="0" borderId="0"/>
    <xf numFmtId="0" fontId="2" fillId="16" borderId="7" applyNumberFormat="0" applyFont="0" applyAlignment="0" applyProtection="0"/>
    <xf numFmtId="0" fontId="22" fillId="2" borderId="8" applyNumberFormat="0" applyAlignment="0" applyProtection="0"/>
    <xf numFmtId="9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7" fillId="0" borderId="0" applyNumberFormat="0" applyFill="0" applyBorder="0" applyAlignment="0" applyProtection="0"/>
  </cellStyleXfs>
  <cellXfs count="359">
    <xf numFmtId="0" fontId="0" fillId="0" borderId="0" xfId="0"/>
    <xf numFmtId="0" fontId="1" fillId="0" borderId="0" xfId="0" applyFont="1"/>
    <xf numFmtId="0" fontId="4" fillId="0" borderId="0" xfId="0" applyFont="1"/>
    <xf numFmtId="0" fontId="0" fillId="0" borderId="0" xfId="0" applyFill="1"/>
    <xf numFmtId="0" fontId="0" fillId="0" borderId="10" xfId="0" applyBorder="1"/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12" xfId="0" applyFont="1" applyBorder="1" applyAlignment="1">
      <alignment horizontal="center"/>
    </xf>
    <xf numFmtId="14" fontId="1" fillId="0" borderId="13" xfId="0" applyNumberFormat="1" applyFont="1" applyBorder="1"/>
    <xf numFmtId="0" fontId="1" fillId="0" borderId="11" xfId="0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14" xfId="0" applyFont="1" applyBorder="1"/>
    <xf numFmtId="0" fontId="1" fillId="0" borderId="15" xfId="0" applyFont="1" applyBorder="1"/>
    <xf numFmtId="0" fontId="0" fillId="0" borderId="14" xfId="0" applyBorder="1"/>
    <xf numFmtId="0" fontId="0" fillId="0" borderId="10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 applyAlignment="1">
      <alignment horizontal="left"/>
    </xf>
    <xf numFmtId="0" fontId="5" fillId="0" borderId="0" xfId="0" applyFont="1"/>
    <xf numFmtId="3" fontId="0" fillId="0" borderId="0" xfId="0" applyNumberFormat="1"/>
    <xf numFmtId="3" fontId="0" fillId="0" borderId="19" xfId="0" applyNumberFormat="1" applyBorder="1"/>
    <xf numFmtId="3" fontId="0" fillId="0" borderId="20" xfId="0" applyNumberFormat="1" applyBorder="1"/>
    <xf numFmtId="3" fontId="0" fillId="0" borderId="17" xfId="0" applyNumberFormat="1" applyBorder="1"/>
    <xf numFmtId="3" fontId="0" fillId="17" borderId="0" xfId="0" applyNumberFormat="1" applyFill="1"/>
    <xf numFmtId="3" fontId="0" fillId="17" borderId="19" xfId="0" applyNumberFormat="1" applyFill="1" applyBorder="1"/>
    <xf numFmtId="3" fontId="0" fillId="17" borderId="20" xfId="0" applyNumberFormat="1" applyFill="1" applyBorder="1"/>
    <xf numFmtId="3" fontId="0" fillId="17" borderId="17" xfId="0" applyNumberFormat="1" applyFill="1" applyBorder="1"/>
    <xf numFmtId="3" fontId="0" fillId="0" borderId="0" xfId="0" applyNumberFormat="1" applyFill="1"/>
    <xf numFmtId="3" fontId="0" fillId="0" borderId="19" xfId="0" applyNumberFormat="1" applyFill="1" applyBorder="1"/>
    <xf numFmtId="3" fontId="0" fillId="0" borderId="20" xfId="0" applyNumberFormat="1" applyFill="1" applyBorder="1"/>
    <xf numFmtId="3" fontId="0" fillId="0" borderId="17" xfId="0" applyNumberFormat="1" applyFill="1" applyBorder="1"/>
    <xf numFmtId="14" fontId="2" fillId="0" borderId="0" xfId="0" applyNumberFormat="1" applyFont="1" applyBorder="1"/>
    <xf numFmtId="0" fontId="0" fillId="0" borderId="0" xfId="0" quotePrefix="1"/>
    <xf numFmtId="0" fontId="1" fillId="18" borderId="21" xfId="0" applyFont="1" applyFill="1" applyBorder="1"/>
    <xf numFmtId="3" fontId="0" fillId="0" borderId="11" xfId="0" applyNumberFormat="1" applyBorder="1"/>
    <xf numFmtId="3" fontId="0" fillId="0" borderId="16" xfId="0" applyNumberFormat="1" applyBorder="1"/>
    <xf numFmtId="3" fontId="0" fillId="0" borderId="22" xfId="0" applyNumberFormat="1" applyBorder="1"/>
    <xf numFmtId="3" fontId="0" fillId="0" borderId="23" xfId="0" applyNumberFormat="1" applyBorder="1"/>
    <xf numFmtId="3" fontId="0" fillId="0" borderId="10" xfId="0" applyNumberFormat="1" applyBorder="1"/>
    <xf numFmtId="3" fontId="0" fillId="0" borderId="24" xfId="0" applyNumberFormat="1" applyBorder="1"/>
    <xf numFmtId="3" fontId="0" fillId="0" borderId="24" xfId="0" applyNumberFormat="1" applyFill="1" applyBorder="1"/>
    <xf numFmtId="3" fontId="1" fillId="17" borderId="20" xfId="0" applyNumberFormat="1" applyFont="1" applyFill="1" applyBorder="1"/>
    <xf numFmtId="3" fontId="1" fillId="17" borderId="0" xfId="0" applyNumberFormat="1" applyFont="1" applyFill="1"/>
    <xf numFmtId="3" fontId="1" fillId="17" borderId="24" xfId="0" applyNumberFormat="1" applyFont="1" applyFill="1" applyBorder="1"/>
    <xf numFmtId="3" fontId="1" fillId="17" borderId="10" xfId="0" applyNumberFormat="1" applyFont="1" applyFill="1" applyBorder="1"/>
    <xf numFmtId="3" fontId="1" fillId="17" borderId="25" xfId="0" applyNumberFormat="1" applyFont="1" applyFill="1" applyBorder="1"/>
    <xf numFmtId="3" fontId="1" fillId="17" borderId="13" xfId="0" applyNumberFormat="1" applyFont="1" applyFill="1" applyBorder="1"/>
    <xf numFmtId="3" fontId="1" fillId="17" borderId="26" xfId="0" applyNumberFormat="1" applyFont="1" applyFill="1" applyBorder="1"/>
    <xf numFmtId="3" fontId="1" fillId="17" borderId="15" xfId="0" applyNumberFormat="1" applyFont="1" applyFill="1" applyBorder="1"/>
    <xf numFmtId="3" fontId="1" fillId="19" borderId="20" xfId="0" applyNumberFormat="1" applyFont="1" applyFill="1" applyBorder="1"/>
    <xf numFmtId="3" fontId="1" fillId="19" borderId="0" xfId="0" applyNumberFormat="1" applyFont="1" applyFill="1"/>
    <xf numFmtId="3" fontId="1" fillId="19" borderId="24" xfId="0" applyNumberFormat="1" applyFont="1" applyFill="1" applyBorder="1"/>
    <xf numFmtId="3" fontId="1" fillId="19" borderId="10" xfId="0" applyNumberFormat="1" applyFont="1" applyFill="1" applyBorder="1"/>
    <xf numFmtId="3" fontId="1" fillId="19" borderId="27" xfId="0" applyNumberFormat="1" applyFont="1" applyFill="1" applyBorder="1"/>
    <xf numFmtId="3" fontId="1" fillId="19" borderId="28" xfId="0" applyNumberFormat="1" applyFont="1" applyFill="1" applyBorder="1"/>
    <xf numFmtId="3" fontId="1" fillId="19" borderId="29" xfId="0" applyNumberFormat="1" applyFont="1" applyFill="1" applyBorder="1"/>
    <xf numFmtId="3" fontId="1" fillId="19" borderId="30" xfId="0" applyNumberFormat="1" applyFont="1" applyFill="1" applyBorder="1"/>
    <xf numFmtId="3" fontId="1" fillId="19" borderId="31" xfId="0" applyNumberFormat="1" applyFont="1" applyFill="1" applyBorder="1"/>
    <xf numFmtId="3" fontId="1" fillId="19" borderId="32" xfId="0" applyNumberFormat="1" applyFont="1" applyFill="1" applyBorder="1"/>
    <xf numFmtId="3" fontId="1" fillId="19" borderId="33" xfId="0" applyNumberFormat="1" applyFont="1" applyFill="1" applyBorder="1"/>
    <xf numFmtId="3" fontId="1" fillId="19" borderId="34" xfId="0" applyNumberFormat="1" applyFont="1" applyFill="1" applyBorder="1"/>
    <xf numFmtId="3" fontId="1" fillId="19" borderId="35" xfId="0" applyNumberFormat="1" applyFont="1" applyFill="1" applyBorder="1"/>
    <xf numFmtId="3" fontId="1" fillId="19" borderId="36" xfId="0" applyNumberFormat="1" applyFont="1" applyFill="1" applyBorder="1"/>
    <xf numFmtId="3" fontId="1" fillId="19" borderId="37" xfId="0" applyNumberFormat="1" applyFont="1" applyFill="1" applyBorder="1"/>
    <xf numFmtId="3" fontId="1" fillId="19" borderId="38" xfId="0" applyNumberFormat="1" applyFont="1" applyFill="1" applyBorder="1"/>
    <xf numFmtId="3" fontId="1" fillId="17" borderId="19" xfId="0" applyNumberFormat="1" applyFont="1" applyFill="1" applyBorder="1"/>
    <xf numFmtId="3" fontId="1" fillId="19" borderId="19" xfId="0" applyNumberFormat="1" applyFont="1" applyFill="1" applyBorder="1"/>
    <xf numFmtId="3" fontId="1" fillId="19" borderId="39" xfId="0" applyNumberFormat="1" applyFont="1" applyFill="1" applyBorder="1"/>
    <xf numFmtId="3" fontId="1" fillId="19" borderId="40" xfId="0" applyNumberFormat="1" applyFont="1" applyFill="1" applyBorder="1"/>
    <xf numFmtId="3" fontId="1" fillId="19" borderId="41" xfId="0" applyNumberFormat="1" applyFont="1" applyFill="1" applyBorder="1"/>
    <xf numFmtId="3" fontId="1" fillId="17" borderId="42" xfId="0" applyNumberFormat="1" applyFont="1" applyFill="1" applyBorder="1"/>
    <xf numFmtId="3" fontId="0" fillId="0" borderId="43" xfId="0" applyNumberFormat="1" applyBorder="1"/>
    <xf numFmtId="3" fontId="1" fillId="17" borderId="43" xfId="0" applyNumberFormat="1" applyFont="1" applyFill="1" applyBorder="1"/>
    <xf numFmtId="3" fontId="1" fillId="19" borderId="43" xfId="0" applyNumberFormat="1" applyFont="1" applyFill="1" applyBorder="1"/>
    <xf numFmtId="3" fontId="1" fillId="19" borderId="44" xfId="0" applyNumberFormat="1" applyFont="1" applyFill="1" applyBorder="1"/>
    <xf numFmtId="3" fontId="1" fillId="19" borderId="45" xfId="0" applyNumberFormat="1" applyFont="1" applyFill="1" applyBorder="1"/>
    <xf numFmtId="3" fontId="1" fillId="19" borderId="46" xfId="0" applyNumberFormat="1" applyFont="1" applyFill="1" applyBorder="1"/>
    <xf numFmtId="3" fontId="1" fillId="17" borderId="47" xfId="0" applyNumberFormat="1" applyFont="1" applyFill="1" applyBorder="1"/>
    <xf numFmtId="3" fontId="0" fillId="0" borderId="48" xfId="0" applyNumberFormat="1" applyBorder="1"/>
    <xf numFmtId="3" fontId="1" fillId="17" borderId="48" xfId="0" applyNumberFormat="1" applyFont="1" applyFill="1" applyBorder="1"/>
    <xf numFmtId="3" fontId="1" fillId="19" borderId="48" xfId="0" applyNumberFormat="1" applyFont="1" applyFill="1" applyBorder="1"/>
    <xf numFmtId="3" fontId="1" fillId="19" borderId="49" xfId="0" applyNumberFormat="1" applyFont="1" applyFill="1" applyBorder="1"/>
    <xf numFmtId="3" fontId="1" fillId="19" borderId="50" xfId="0" applyNumberFormat="1" applyFont="1" applyFill="1" applyBorder="1"/>
    <xf numFmtId="3" fontId="1" fillId="19" borderId="51" xfId="0" applyNumberFormat="1" applyFont="1" applyFill="1" applyBorder="1"/>
    <xf numFmtId="3" fontId="1" fillId="17" borderId="52" xfId="0" applyNumberFormat="1" applyFont="1" applyFill="1" applyBorder="1"/>
    <xf numFmtId="37" fontId="0" fillId="0" borderId="20" xfId="0" applyNumberFormat="1" applyFill="1" applyBorder="1"/>
    <xf numFmtId="37" fontId="0" fillId="0" borderId="0" xfId="0" applyNumberFormat="1" applyFill="1"/>
    <xf numFmtId="37" fontId="0" fillId="0" borderId="17" xfId="0" applyNumberFormat="1" applyFill="1" applyBorder="1"/>
    <xf numFmtId="37" fontId="0" fillId="17" borderId="20" xfId="0" applyNumberFormat="1" applyFill="1" applyBorder="1"/>
    <xf numFmtId="37" fontId="0" fillId="17" borderId="0" xfId="0" applyNumberFormat="1" applyFill="1"/>
    <xf numFmtId="37" fontId="0" fillId="17" borderId="17" xfId="0" applyNumberFormat="1" applyFill="1" applyBorder="1"/>
    <xf numFmtId="37" fontId="0" fillId="0" borderId="20" xfId="0" applyNumberFormat="1" applyBorder="1"/>
    <xf numFmtId="37" fontId="0" fillId="0" borderId="0" xfId="0" applyNumberFormat="1"/>
    <xf numFmtId="37" fontId="0" fillId="0" borderId="17" xfId="0" applyNumberFormat="1" applyBorder="1"/>
    <xf numFmtId="0" fontId="0" fillId="0" borderId="15" xfId="0" applyBorder="1"/>
    <xf numFmtId="0" fontId="0" fillId="17" borderId="37" xfId="0" applyFill="1" applyBorder="1"/>
    <xf numFmtId="37" fontId="0" fillId="0" borderId="19" xfId="0" applyNumberFormat="1" applyBorder="1"/>
    <xf numFmtId="37" fontId="0" fillId="17" borderId="37" xfId="0" applyNumberFormat="1" applyFill="1" applyBorder="1"/>
    <xf numFmtId="37" fontId="0" fillId="17" borderId="41" xfId="0" applyNumberFormat="1" applyFill="1" applyBorder="1"/>
    <xf numFmtId="37" fontId="0" fillId="17" borderId="36" xfId="0" applyNumberFormat="1" applyFill="1" applyBorder="1"/>
    <xf numFmtId="37" fontId="0" fillId="17" borderId="53" xfId="0" applyNumberFormat="1" applyFill="1" applyBorder="1"/>
    <xf numFmtId="37" fontId="0" fillId="0" borderId="16" xfId="0" applyNumberFormat="1" applyBorder="1"/>
    <xf numFmtId="3" fontId="0" fillId="0" borderId="10" xfId="0" applyNumberFormat="1" applyFill="1" applyBorder="1"/>
    <xf numFmtId="3" fontId="0" fillId="0" borderId="48" xfId="0" applyNumberFormat="1" applyFill="1" applyBorder="1"/>
    <xf numFmtId="37" fontId="1" fillId="20" borderId="36" xfId="0" applyNumberFormat="1" applyFont="1" applyFill="1" applyBorder="1"/>
    <xf numFmtId="37" fontId="1" fillId="19" borderId="20" xfId="0" applyNumberFormat="1" applyFont="1" applyFill="1" applyBorder="1"/>
    <xf numFmtId="37" fontId="1" fillId="19" borderId="0" xfId="0" applyNumberFormat="1" applyFont="1" applyFill="1"/>
    <xf numFmtId="37" fontId="1" fillId="19" borderId="17" xfId="0" applyNumberFormat="1" applyFont="1" applyFill="1" applyBorder="1"/>
    <xf numFmtId="37" fontId="1" fillId="19" borderId="35" xfId="0" applyNumberFormat="1" applyFont="1" applyFill="1" applyBorder="1"/>
    <xf numFmtId="37" fontId="1" fillId="19" borderId="36" xfId="0" applyNumberFormat="1" applyFont="1" applyFill="1" applyBorder="1"/>
    <xf numFmtId="37" fontId="1" fillId="19" borderId="53" xfId="0" applyNumberFormat="1" applyFont="1" applyFill="1" applyBorder="1"/>
    <xf numFmtId="0" fontId="1" fillId="20" borderId="54" xfId="0" applyFont="1" applyFill="1" applyBorder="1" applyAlignment="1">
      <alignment horizontal="center"/>
    </xf>
    <xf numFmtId="0" fontId="1" fillId="20" borderId="14" xfId="0" applyFont="1" applyFill="1" applyBorder="1" applyAlignment="1">
      <alignment horizontal="right"/>
    </xf>
    <xf numFmtId="0" fontId="1" fillId="20" borderId="15" xfId="0" applyFont="1" applyFill="1" applyBorder="1" applyAlignment="1">
      <alignment horizontal="right"/>
    </xf>
    <xf numFmtId="0" fontId="1" fillId="21" borderId="11" xfId="0" applyFont="1" applyFill="1" applyBorder="1" applyAlignment="1">
      <alignment horizontal="left" indent="2"/>
    </xf>
    <xf numFmtId="0" fontId="1" fillId="20" borderId="25" xfId="0" applyFont="1" applyFill="1" applyBorder="1" applyAlignment="1">
      <alignment horizontal="right"/>
    </xf>
    <xf numFmtId="0" fontId="1" fillId="22" borderId="16" xfId="0" applyFont="1" applyFill="1" applyBorder="1" applyAlignment="1">
      <alignment horizontal="left" indent="2"/>
    </xf>
    <xf numFmtId="0" fontId="1" fillId="22" borderId="25" xfId="0" applyFont="1" applyFill="1" applyBorder="1" applyAlignment="1">
      <alignment horizontal="right"/>
    </xf>
    <xf numFmtId="0" fontId="1" fillId="20" borderId="16" xfId="0" applyFont="1" applyFill="1" applyBorder="1" applyAlignment="1">
      <alignment horizontal="center"/>
    </xf>
    <xf numFmtId="0" fontId="1" fillId="18" borderId="25" xfId="0" applyFont="1" applyFill="1" applyBorder="1" applyAlignment="1">
      <alignment horizontal="right"/>
    </xf>
    <xf numFmtId="3" fontId="1" fillId="19" borderId="17" xfId="0" applyNumberFormat="1" applyFont="1" applyFill="1" applyBorder="1"/>
    <xf numFmtId="3" fontId="1" fillId="19" borderId="53" xfId="0" applyNumberFormat="1" applyFont="1" applyFill="1" applyBorder="1"/>
    <xf numFmtId="3" fontId="0" fillId="22" borderId="0" xfId="0" applyNumberFormat="1" applyFill="1"/>
    <xf numFmtId="37" fontId="0" fillId="0" borderId="55" xfId="0" applyNumberFormat="1" applyBorder="1"/>
    <xf numFmtId="37" fontId="0" fillId="0" borderId="56" xfId="0" applyNumberFormat="1" applyBorder="1"/>
    <xf numFmtId="37" fontId="0" fillId="17" borderId="57" xfId="0" applyNumberFormat="1" applyFill="1" applyBorder="1"/>
    <xf numFmtId="0" fontId="2" fillId="0" borderId="0" xfId="37"/>
    <xf numFmtId="0" fontId="1" fillId="0" borderId="11" xfId="37" applyFont="1" applyBorder="1" applyAlignment="1">
      <alignment horizontal="center"/>
    </xf>
    <xf numFmtId="0" fontId="1" fillId="0" borderId="12" xfId="37" applyFont="1" applyBorder="1" applyAlignment="1">
      <alignment horizontal="center"/>
    </xf>
    <xf numFmtId="3" fontId="2" fillId="0" borderId="20" xfId="37" applyNumberFormat="1" applyBorder="1"/>
    <xf numFmtId="3" fontId="2" fillId="0" borderId="0" xfId="37" applyNumberFormat="1"/>
    <xf numFmtId="3" fontId="1" fillId="19" borderId="20" xfId="37" applyNumberFormat="1" applyFont="1" applyFill="1" applyBorder="1"/>
    <xf numFmtId="3" fontId="1" fillId="19" borderId="0" xfId="37" applyNumberFormat="1" applyFont="1" applyFill="1"/>
    <xf numFmtId="3" fontId="2" fillId="0" borderId="20" xfId="37" applyNumberFormat="1" applyFill="1" applyBorder="1"/>
    <xf numFmtId="3" fontId="2" fillId="0" borderId="0" xfId="37" applyNumberFormat="1" applyFill="1"/>
    <xf numFmtId="3" fontId="1" fillId="19" borderId="35" xfId="37" applyNumberFormat="1" applyFont="1" applyFill="1" applyBorder="1"/>
    <xf numFmtId="3" fontId="1" fillId="19" borderId="36" xfId="37" applyNumberFormat="1" applyFont="1" applyFill="1" applyBorder="1"/>
    <xf numFmtId="3" fontId="1" fillId="19" borderId="41" xfId="37" applyNumberFormat="1" applyFont="1" applyFill="1" applyBorder="1"/>
    <xf numFmtId="0" fontId="2" fillId="0" borderId="0" xfId="37" applyFill="1"/>
    <xf numFmtId="0" fontId="1" fillId="20" borderId="16" xfId="37" applyFont="1" applyFill="1" applyBorder="1" applyAlignment="1">
      <alignment horizontal="center"/>
    </xf>
    <xf numFmtId="0" fontId="2" fillId="0" borderId="16" xfId="37" applyBorder="1"/>
    <xf numFmtId="0" fontId="2" fillId="0" borderId="22" xfId="37" applyBorder="1"/>
    <xf numFmtId="0" fontId="2" fillId="0" borderId="20" xfId="37" applyFill="1" applyBorder="1"/>
    <xf numFmtId="0" fontId="2" fillId="0" borderId="17" xfId="37" applyFill="1" applyBorder="1"/>
    <xf numFmtId="3" fontId="2" fillId="0" borderId="17" xfId="37" applyNumberFormat="1" applyBorder="1"/>
    <xf numFmtId="3" fontId="2" fillId="17" borderId="0" xfId="37" applyNumberFormat="1" applyFill="1"/>
    <xf numFmtId="3" fontId="2" fillId="17" borderId="19" xfId="37" applyNumberFormat="1" applyFill="1" applyBorder="1"/>
    <xf numFmtId="3" fontId="2" fillId="17" borderId="20" xfId="37" applyNumberFormat="1" applyFill="1" applyBorder="1"/>
    <xf numFmtId="3" fontId="2" fillId="17" borderId="17" xfId="37" applyNumberFormat="1" applyFill="1" applyBorder="1"/>
    <xf numFmtId="3" fontId="1" fillId="19" borderId="17" xfId="37" applyNumberFormat="1" applyFont="1" applyFill="1" applyBorder="1"/>
    <xf numFmtId="3" fontId="2" fillId="0" borderId="17" xfId="37" applyNumberFormat="1" applyFill="1" applyBorder="1"/>
    <xf numFmtId="3" fontId="1" fillId="19" borderId="53" xfId="37" applyNumberFormat="1" applyFont="1" applyFill="1" applyBorder="1"/>
    <xf numFmtId="0" fontId="2" fillId="22" borderId="0" xfId="37" applyFill="1"/>
    <xf numFmtId="0" fontId="25" fillId="0" borderId="0" xfId="0" applyFont="1"/>
    <xf numFmtId="0" fontId="1" fillId="22" borderId="16" xfId="37" applyFont="1" applyFill="1" applyBorder="1" applyAlignment="1">
      <alignment horizontal="center"/>
    </xf>
    <xf numFmtId="14" fontId="1" fillId="22" borderId="25" xfId="0" applyNumberFormat="1" applyFont="1" applyFill="1" applyBorder="1" applyAlignment="1">
      <alignment horizontal="center"/>
    </xf>
    <xf numFmtId="0" fontId="1" fillId="22" borderId="16" xfId="0" applyFont="1" applyFill="1" applyBorder="1" applyAlignment="1">
      <alignment horizontal="center"/>
    </xf>
    <xf numFmtId="14" fontId="1" fillId="18" borderId="13" xfId="0" applyNumberFormat="1" applyFont="1" applyFill="1" applyBorder="1" applyAlignment="1">
      <alignment horizontal="center"/>
    </xf>
    <xf numFmtId="0" fontId="1" fillId="23" borderId="22" xfId="0" applyFont="1" applyFill="1" applyBorder="1" applyAlignment="1">
      <alignment horizontal="center"/>
    </xf>
    <xf numFmtId="0" fontId="1" fillId="20" borderId="47" xfId="0" applyFont="1" applyFill="1" applyBorder="1" applyAlignment="1">
      <alignment horizontal="center"/>
    </xf>
    <xf numFmtId="0" fontId="1" fillId="23" borderId="58" xfId="0" applyFont="1" applyFill="1" applyBorder="1" applyAlignment="1">
      <alignment horizontal="center"/>
    </xf>
    <xf numFmtId="0" fontId="1" fillId="18" borderId="12" xfId="37" applyFont="1" applyFill="1" applyBorder="1" applyAlignment="1">
      <alignment horizontal="center"/>
    </xf>
    <xf numFmtId="0" fontId="1" fillId="20" borderId="59" xfId="37" applyFont="1" applyFill="1" applyBorder="1" applyAlignment="1">
      <alignment horizontal="center"/>
    </xf>
    <xf numFmtId="0" fontId="1" fillId="23" borderId="22" xfId="37" applyFont="1" applyFill="1" applyBorder="1" applyAlignment="1">
      <alignment horizontal="center"/>
    </xf>
    <xf numFmtId="14" fontId="1" fillId="0" borderId="42" xfId="0" applyNumberFormat="1" applyFont="1" applyBorder="1" applyAlignment="1">
      <alignment horizontal="center"/>
    </xf>
    <xf numFmtId="14" fontId="1" fillId="0" borderId="13" xfId="0" applyNumberFormat="1" applyFont="1" applyBorder="1" applyAlignment="1">
      <alignment horizontal="center"/>
    </xf>
    <xf numFmtId="0" fontId="1" fillId="20" borderId="25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1" fillId="18" borderId="16" xfId="0" applyFont="1" applyFill="1" applyBorder="1" applyAlignment="1">
      <alignment horizontal="center"/>
    </xf>
    <xf numFmtId="0" fontId="1" fillId="20" borderId="12" xfId="0" applyFont="1" applyFill="1" applyBorder="1" applyAlignment="1">
      <alignment horizontal="center"/>
    </xf>
    <xf numFmtId="0" fontId="1" fillId="20" borderId="13" xfId="0" applyFont="1" applyFill="1" applyBorder="1" applyAlignment="1">
      <alignment horizontal="center"/>
    </xf>
    <xf numFmtId="0" fontId="1" fillId="21" borderId="42" xfId="0" applyFont="1" applyFill="1" applyBorder="1" applyAlignment="1">
      <alignment horizontal="center"/>
    </xf>
    <xf numFmtId="0" fontId="1" fillId="20" borderId="52" xfId="0" applyFont="1" applyFill="1" applyBorder="1" applyAlignment="1">
      <alignment horizontal="center"/>
    </xf>
    <xf numFmtId="0" fontId="26" fillId="0" borderId="0" xfId="0" applyFont="1"/>
    <xf numFmtId="0" fontId="2" fillId="0" borderId="20" xfId="37" applyBorder="1"/>
    <xf numFmtId="3" fontId="2" fillId="17" borderId="60" xfId="37" applyNumberFormat="1" applyFill="1" applyBorder="1"/>
    <xf numFmtId="0" fontId="0" fillId="0" borderId="24" xfId="0" applyBorder="1" applyAlignment="1">
      <alignment horizontal="left"/>
    </xf>
    <xf numFmtId="0" fontId="1" fillId="0" borderId="23" xfId="0" applyFont="1" applyBorder="1"/>
    <xf numFmtId="0" fontId="1" fillId="0" borderId="26" xfId="0" applyFont="1" applyBorder="1"/>
    <xf numFmtId="0" fontId="0" fillId="0" borderId="23" xfId="0" applyBorder="1" applyAlignment="1">
      <alignment horizontal="left"/>
    </xf>
    <xf numFmtId="0" fontId="0" fillId="0" borderId="61" xfId="0" applyBorder="1" applyAlignment="1">
      <alignment horizontal="left"/>
    </xf>
    <xf numFmtId="37" fontId="0" fillId="0" borderId="25" xfId="0" applyNumberFormat="1" applyFill="1" applyBorder="1"/>
    <xf numFmtId="3" fontId="0" fillId="0" borderId="0" xfId="0" applyNumberFormat="1" applyProtection="1">
      <protection locked="0"/>
    </xf>
    <xf numFmtId="3" fontId="1" fillId="17" borderId="0" xfId="0" applyNumberFormat="1" applyFont="1" applyFill="1" applyProtection="1">
      <protection locked="0"/>
    </xf>
    <xf numFmtId="3" fontId="2" fillId="0" borderId="0" xfId="0" applyNumberFormat="1" applyFont="1" applyProtection="1">
      <protection locked="0"/>
    </xf>
    <xf numFmtId="3" fontId="1" fillId="19" borderId="0" xfId="0" applyNumberFormat="1" applyFont="1" applyFill="1" applyProtection="1">
      <protection locked="0"/>
    </xf>
    <xf numFmtId="0" fontId="0" fillId="0" borderId="0" xfId="0" applyProtection="1">
      <protection locked="0"/>
    </xf>
    <xf numFmtId="3" fontId="1" fillId="19" borderId="28" xfId="0" applyNumberFormat="1" applyFont="1" applyFill="1" applyBorder="1" applyProtection="1">
      <protection locked="0"/>
    </xf>
    <xf numFmtId="3" fontId="1" fillId="19" borderId="32" xfId="0" applyNumberFormat="1" applyFont="1" applyFill="1" applyBorder="1" applyProtection="1">
      <protection locked="0"/>
    </xf>
    <xf numFmtId="3" fontId="1" fillId="19" borderId="36" xfId="0" applyNumberFormat="1" applyFont="1" applyFill="1" applyBorder="1" applyProtection="1">
      <protection locked="0"/>
    </xf>
    <xf numFmtId="3" fontId="1" fillId="17" borderId="13" xfId="0" applyNumberFormat="1" applyFont="1" applyFill="1" applyBorder="1" applyProtection="1">
      <protection locked="0"/>
    </xf>
    <xf numFmtId="0" fontId="2" fillId="0" borderId="11" xfId="37" applyBorder="1" applyProtection="1">
      <protection locked="0"/>
    </xf>
    <xf numFmtId="0" fontId="2" fillId="0" borderId="0" xfId="37" applyProtection="1">
      <protection locked="0"/>
    </xf>
    <xf numFmtId="0" fontId="2" fillId="0" borderId="19" xfId="37" applyFill="1" applyBorder="1" applyProtection="1">
      <protection locked="0"/>
    </xf>
    <xf numFmtId="0" fontId="2" fillId="0" borderId="0" xfId="37" applyFill="1" applyProtection="1">
      <protection locked="0"/>
    </xf>
    <xf numFmtId="3" fontId="2" fillId="0" borderId="19" xfId="37" applyNumberFormat="1" applyBorder="1" applyProtection="1">
      <protection locked="0"/>
    </xf>
    <xf numFmtId="3" fontId="2" fillId="0" borderId="0" xfId="37" applyNumberFormat="1" applyProtection="1">
      <protection locked="0"/>
    </xf>
    <xf numFmtId="3" fontId="2" fillId="17" borderId="19" xfId="37" applyNumberFormat="1" applyFill="1" applyBorder="1" applyProtection="1">
      <protection locked="0"/>
    </xf>
    <xf numFmtId="3" fontId="2" fillId="17" borderId="0" xfId="37" applyNumberFormat="1" applyFill="1" applyProtection="1">
      <protection locked="0"/>
    </xf>
    <xf numFmtId="3" fontId="2" fillId="0" borderId="19" xfId="37" applyNumberFormat="1" applyFill="1" applyBorder="1" applyProtection="1">
      <protection locked="0"/>
    </xf>
    <xf numFmtId="3" fontId="2" fillId="0" borderId="0" xfId="37" applyNumberFormat="1" applyFill="1" applyProtection="1">
      <protection locked="0"/>
    </xf>
    <xf numFmtId="3" fontId="1" fillId="19" borderId="19" xfId="37" applyNumberFormat="1" applyFont="1" applyFill="1" applyBorder="1" applyProtection="1">
      <protection locked="0"/>
    </xf>
    <xf numFmtId="3" fontId="1" fillId="19" borderId="0" xfId="37" applyNumberFormat="1" applyFont="1" applyFill="1" applyProtection="1">
      <protection locked="0"/>
    </xf>
    <xf numFmtId="3" fontId="1" fillId="19" borderId="41" xfId="37" applyNumberFormat="1" applyFont="1" applyFill="1" applyBorder="1" applyProtection="1">
      <protection locked="0"/>
    </xf>
    <xf numFmtId="3" fontId="1" fillId="19" borderId="36" xfId="37" applyNumberFormat="1" applyFont="1" applyFill="1" applyBorder="1" applyProtection="1">
      <protection locked="0"/>
    </xf>
    <xf numFmtId="0" fontId="2" fillId="22" borderId="0" xfId="37" applyFill="1" applyProtection="1">
      <protection locked="0"/>
    </xf>
    <xf numFmtId="1" fontId="2" fillId="22" borderId="0" xfId="37" applyNumberFormat="1" applyFill="1" applyProtection="1">
      <protection locked="0"/>
    </xf>
    <xf numFmtId="0" fontId="0" fillId="0" borderId="13" xfId="0" applyBorder="1" applyProtection="1">
      <protection locked="0"/>
    </xf>
    <xf numFmtId="37" fontId="0" fillId="0" borderId="19" xfId="0" applyNumberFormat="1" applyBorder="1" applyProtection="1">
      <protection locked="0"/>
    </xf>
    <xf numFmtId="37" fontId="0" fillId="0" borderId="0" xfId="0" applyNumberFormat="1" applyProtection="1">
      <protection locked="0"/>
    </xf>
    <xf numFmtId="37" fontId="0" fillId="0" borderId="55" xfId="0" applyNumberFormat="1" applyBorder="1" applyProtection="1">
      <protection locked="0"/>
    </xf>
    <xf numFmtId="37" fontId="0" fillId="0" borderId="56" xfId="0" applyNumberFormat="1" applyBorder="1" applyProtection="1">
      <protection locked="0"/>
    </xf>
    <xf numFmtId="37" fontId="0" fillId="17" borderId="41" xfId="0" applyNumberFormat="1" applyFill="1" applyBorder="1" applyProtection="1">
      <protection locked="0"/>
    </xf>
    <xf numFmtId="37" fontId="0" fillId="17" borderId="36" xfId="0" applyNumberFormat="1" applyFill="1" applyBorder="1" applyProtection="1">
      <protection locked="0"/>
    </xf>
    <xf numFmtId="37" fontId="0" fillId="17" borderId="57" xfId="0" applyNumberFormat="1" applyFill="1" applyBorder="1" applyProtection="1">
      <protection locked="0"/>
    </xf>
    <xf numFmtId="3" fontId="2" fillId="0" borderId="0" xfId="37" applyNumberFormat="1" applyFont="1" applyProtection="1">
      <protection locked="0"/>
    </xf>
    <xf numFmtId="0" fontId="4" fillId="0" borderId="0" xfId="0" applyFont="1" applyProtection="1"/>
    <xf numFmtId="0" fontId="0" fillId="0" borderId="0" xfId="0" applyProtection="1"/>
    <xf numFmtId="0" fontId="5" fillId="0" borderId="0" xfId="0" applyFont="1" applyProtection="1"/>
    <xf numFmtId="0" fontId="1" fillId="0" borderId="0" xfId="0" applyFont="1" applyProtection="1"/>
    <xf numFmtId="0" fontId="1" fillId="18" borderId="21" xfId="0" applyFont="1" applyFill="1" applyBorder="1" applyProtection="1"/>
    <xf numFmtId="0" fontId="0" fillId="0" borderId="16" xfId="0" applyBorder="1" applyProtection="1"/>
    <xf numFmtId="0" fontId="0" fillId="0" borderId="17" xfId="0" applyBorder="1" applyProtection="1"/>
    <xf numFmtId="37" fontId="1" fillId="19" borderId="20" xfId="0" applyNumberFormat="1" applyFont="1" applyFill="1" applyBorder="1" applyProtection="1"/>
    <xf numFmtId="37" fontId="1" fillId="19" borderId="0" xfId="0" applyNumberFormat="1" applyFont="1" applyFill="1" applyProtection="1"/>
    <xf numFmtId="37" fontId="1" fillId="19" borderId="17" xfId="0" applyNumberFormat="1" applyFont="1" applyFill="1" applyBorder="1" applyProtection="1"/>
    <xf numFmtId="37" fontId="0" fillId="0" borderId="20" xfId="0" applyNumberFormat="1" applyFill="1" applyBorder="1" applyProtection="1"/>
    <xf numFmtId="37" fontId="0" fillId="0" borderId="0" xfId="0" applyNumberFormat="1" applyFill="1" applyProtection="1"/>
    <xf numFmtId="37" fontId="0" fillId="0" borderId="17" xfId="0" applyNumberFormat="1" applyFill="1" applyBorder="1" applyProtection="1"/>
    <xf numFmtId="37" fontId="0" fillId="17" borderId="20" xfId="0" applyNumberFormat="1" applyFill="1" applyBorder="1" applyProtection="1"/>
    <xf numFmtId="37" fontId="0" fillId="17" borderId="0" xfId="0" applyNumberFormat="1" applyFill="1" applyProtection="1"/>
    <xf numFmtId="37" fontId="0" fillId="17" borderId="17" xfId="0" applyNumberFormat="1" applyFill="1" applyBorder="1" applyProtection="1"/>
    <xf numFmtId="37" fontId="0" fillId="0" borderId="20" xfId="0" applyNumberFormat="1" applyBorder="1" applyProtection="1"/>
    <xf numFmtId="37" fontId="0" fillId="0" borderId="0" xfId="0" applyNumberFormat="1" applyProtection="1"/>
    <xf numFmtId="37" fontId="0" fillId="0" borderId="17" xfId="0" applyNumberFormat="1" applyBorder="1" applyProtection="1"/>
    <xf numFmtId="37" fontId="0" fillId="0" borderId="25" xfId="0" applyNumberFormat="1" applyFill="1" applyBorder="1" applyProtection="1"/>
    <xf numFmtId="37" fontId="1" fillId="19" borderId="35" xfId="0" applyNumberFormat="1" applyFont="1" applyFill="1" applyBorder="1" applyProtection="1"/>
    <xf numFmtId="37" fontId="1" fillId="19" borderId="36" xfId="0" applyNumberFormat="1" applyFont="1" applyFill="1" applyBorder="1" applyProtection="1"/>
    <xf numFmtId="37" fontId="1" fillId="19" borderId="53" xfId="0" applyNumberFormat="1" applyFont="1" applyFill="1" applyBorder="1" applyProtection="1"/>
    <xf numFmtId="37" fontId="1" fillId="20" borderId="36" xfId="0" applyNumberFormat="1" applyFont="1" applyFill="1" applyBorder="1" applyProtection="1"/>
    <xf numFmtId="0" fontId="6" fillId="0" borderId="0" xfId="0" applyFont="1" applyProtection="1"/>
    <xf numFmtId="0" fontId="1" fillId="20" borderId="62" xfId="0" applyFont="1" applyFill="1" applyBorder="1" applyAlignment="1" applyProtection="1">
      <alignment horizontal="right"/>
    </xf>
    <xf numFmtId="0" fontId="1" fillId="23" borderId="59" xfId="0" applyFont="1" applyFill="1" applyBorder="1" applyAlignment="1" applyProtection="1">
      <alignment horizontal="right"/>
    </xf>
    <xf numFmtId="0" fontId="1" fillId="23" borderId="22" xfId="0" applyFont="1" applyFill="1" applyBorder="1" applyAlignment="1" applyProtection="1">
      <alignment horizontal="right"/>
    </xf>
    <xf numFmtId="0" fontId="1" fillId="20" borderId="63" xfId="0" applyFont="1" applyFill="1" applyBorder="1" applyAlignment="1" applyProtection="1">
      <alignment horizontal="right"/>
    </xf>
    <xf numFmtId="0" fontId="1" fillId="23" borderId="47" xfId="0" applyFont="1" applyFill="1" applyBorder="1" applyAlignment="1" applyProtection="1">
      <alignment horizontal="right"/>
    </xf>
    <xf numFmtId="0" fontId="1" fillId="23" borderId="58" xfId="0" applyFont="1" applyFill="1" applyBorder="1" applyAlignment="1" applyProtection="1">
      <alignment horizontal="right"/>
    </xf>
    <xf numFmtId="0" fontId="0" fillId="0" borderId="23" xfId="0" applyBorder="1" applyProtection="1"/>
    <xf numFmtId="3" fontId="0" fillId="0" borderId="16" xfId="0" applyNumberFormat="1" applyBorder="1" applyProtection="1"/>
    <xf numFmtId="3" fontId="0" fillId="0" borderId="0" xfId="0" applyNumberFormat="1" applyProtection="1"/>
    <xf numFmtId="3" fontId="0" fillId="0" borderId="23" xfId="0" applyNumberFormat="1" applyBorder="1" applyProtection="1"/>
    <xf numFmtId="3" fontId="0" fillId="0" borderId="19" xfId="0" applyNumberFormat="1" applyBorder="1" applyProtection="1"/>
    <xf numFmtId="3" fontId="0" fillId="0" borderId="48" xfId="0" applyNumberFormat="1" applyBorder="1" applyProtection="1"/>
    <xf numFmtId="3" fontId="0" fillId="0" borderId="10" xfId="0" applyNumberFormat="1" applyBorder="1" applyProtection="1"/>
    <xf numFmtId="3" fontId="0" fillId="0" borderId="64" xfId="0" applyNumberFormat="1" applyBorder="1" applyProtection="1"/>
    <xf numFmtId="3" fontId="0" fillId="0" borderId="43" xfId="0" applyNumberFormat="1" applyBorder="1" applyProtection="1"/>
    <xf numFmtId="0" fontId="0" fillId="0" borderId="56" xfId="0" applyBorder="1" applyProtection="1"/>
    <xf numFmtId="0" fontId="0" fillId="0" borderId="24" xfId="0" applyBorder="1" applyAlignment="1" applyProtection="1">
      <alignment horizontal="left"/>
    </xf>
    <xf numFmtId="3" fontId="1" fillId="17" borderId="20" xfId="0" applyNumberFormat="1" applyFont="1" applyFill="1" applyBorder="1" applyProtection="1"/>
    <xf numFmtId="3" fontId="1" fillId="17" borderId="0" xfId="0" applyNumberFormat="1" applyFont="1" applyFill="1" applyProtection="1"/>
    <xf numFmtId="3" fontId="1" fillId="17" borderId="24" xfId="0" applyNumberFormat="1" applyFont="1" applyFill="1" applyBorder="1" applyProtection="1"/>
    <xf numFmtId="3" fontId="1" fillId="17" borderId="19" xfId="0" applyNumberFormat="1" applyFont="1" applyFill="1" applyBorder="1" applyProtection="1"/>
    <xf numFmtId="3" fontId="1" fillId="17" borderId="48" xfId="0" applyNumberFormat="1" applyFont="1" applyFill="1" applyBorder="1" applyProtection="1"/>
    <xf numFmtId="3" fontId="1" fillId="17" borderId="10" xfId="0" applyNumberFormat="1" applyFont="1" applyFill="1" applyBorder="1" applyProtection="1"/>
    <xf numFmtId="9" fontId="1" fillId="17" borderId="64" xfId="40" applyFont="1" applyFill="1" applyBorder="1" applyProtection="1"/>
    <xf numFmtId="3" fontId="1" fillId="17" borderId="43" xfId="0" applyNumberFormat="1" applyFont="1" applyFill="1" applyBorder="1" applyProtection="1"/>
    <xf numFmtId="9" fontId="1" fillId="17" borderId="17" xfId="40" applyFont="1" applyFill="1" applyBorder="1" applyProtection="1"/>
    <xf numFmtId="3" fontId="0" fillId="0" borderId="20" xfId="0" applyNumberFormat="1" applyBorder="1" applyProtection="1"/>
    <xf numFmtId="3" fontId="0" fillId="0" borderId="24" xfId="0" applyNumberFormat="1" applyBorder="1" applyProtection="1"/>
    <xf numFmtId="9" fontId="0" fillId="0" borderId="64" xfId="40" applyFont="1" applyBorder="1" applyProtection="1"/>
    <xf numFmtId="9" fontId="0" fillId="0" borderId="56" xfId="40" applyFont="1" applyBorder="1" applyProtection="1"/>
    <xf numFmtId="0" fontId="26" fillId="0" borderId="0" xfId="0" applyFont="1" applyProtection="1"/>
    <xf numFmtId="9" fontId="0" fillId="0" borderId="56" xfId="0" applyNumberFormat="1" applyBorder="1" applyProtection="1"/>
    <xf numFmtId="9" fontId="1" fillId="17" borderId="64" xfId="0" applyNumberFormat="1" applyFont="1" applyFill="1" applyBorder="1" applyProtection="1"/>
    <xf numFmtId="9" fontId="1" fillId="17" borderId="56" xfId="0" applyNumberFormat="1" applyFont="1" applyFill="1" applyBorder="1" applyProtection="1"/>
    <xf numFmtId="9" fontId="0" fillId="0" borderId="64" xfId="0" applyNumberFormat="1" applyBorder="1" applyProtection="1"/>
    <xf numFmtId="3" fontId="0" fillId="0" borderId="48" xfId="0" applyNumberFormat="1" applyFill="1" applyBorder="1" applyProtection="1"/>
    <xf numFmtId="3" fontId="1" fillId="19" borderId="20" xfId="0" applyNumberFormat="1" applyFont="1" applyFill="1" applyBorder="1" applyProtection="1"/>
    <xf numFmtId="3" fontId="1" fillId="19" borderId="0" xfId="0" applyNumberFormat="1" applyFont="1" applyFill="1" applyProtection="1"/>
    <xf numFmtId="3" fontId="1" fillId="19" borderId="24" xfId="0" applyNumberFormat="1" applyFont="1" applyFill="1" applyBorder="1" applyProtection="1"/>
    <xf numFmtId="3" fontId="1" fillId="19" borderId="19" xfId="0" applyNumberFormat="1" applyFont="1" applyFill="1" applyBorder="1" applyProtection="1"/>
    <xf numFmtId="3" fontId="1" fillId="19" borderId="48" xfId="0" applyNumberFormat="1" applyFont="1" applyFill="1" applyBorder="1" applyProtection="1"/>
    <xf numFmtId="3" fontId="1" fillId="19" borderId="10" xfId="0" applyNumberFormat="1" applyFont="1" applyFill="1" applyBorder="1" applyProtection="1"/>
    <xf numFmtId="9" fontId="1" fillId="19" borderId="64" xfId="0" applyNumberFormat="1" applyFont="1" applyFill="1" applyBorder="1" applyProtection="1"/>
    <xf numFmtId="3" fontId="1" fillId="19" borderId="43" xfId="0" applyNumberFormat="1" applyFont="1" applyFill="1" applyBorder="1" applyProtection="1"/>
    <xf numFmtId="9" fontId="1" fillId="19" borderId="17" xfId="0" applyNumberFormat="1" applyFont="1" applyFill="1" applyBorder="1" applyProtection="1"/>
    <xf numFmtId="0" fontId="8" fillId="0" borderId="0" xfId="0" applyFont="1" applyProtection="1"/>
    <xf numFmtId="9" fontId="1" fillId="19" borderId="56" xfId="0" applyNumberFormat="1" applyFont="1" applyFill="1" applyBorder="1" applyProtection="1"/>
    <xf numFmtId="3" fontId="1" fillId="19" borderId="27" xfId="0" applyNumberFormat="1" applyFont="1" applyFill="1" applyBorder="1" applyProtection="1"/>
    <xf numFmtId="3" fontId="1" fillId="19" borderId="28" xfId="0" applyNumberFormat="1" applyFont="1" applyFill="1" applyBorder="1" applyProtection="1"/>
    <xf numFmtId="3" fontId="1" fillId="19" borderId="29" xfId="0" applyNumberFormat="1" applyFont="1" applyFill="1" applyBorder="1" applyProtection="1"/>
    <xf numFmtId="3" fontId="1" fillId="19" borderId="40" xfId="0" applyNumberFormat="1" applyFont="1" applyFill="1" applyBorder="1" applyProtection="1"/>
    <xf numFmtId="3" fontId="1" fillId="19" borderId="49" xfId="0" applyNumberFormat="1" applyFont="1" applyFill="1" applyBorder="1" applyProtection="1"/>
    <xf numFmtId="3" fontId="1" fillId="19" borderId="30" xfId="0" applyNumberFormat="1" applyFont="1" applyFill="1" applyBorder="1" applyProtection="1"/>
    <xf numFmtId="9" fontId="1" fillId="19" borderId="65" xfId="0" applyNumberFormat="1" applyFont="1" applyFill="1" applyBorder="1" applyProtection="1"/>
    <xf numFmtId="3" fontId="1" fillId="19" borderId="44" xfId="0" applyNumberFormat="1" applyFont="1" applyFill="1" applyBorder="1" applyProtection="1"/>
    <xf numFmtId="9" fontId="1" fillId="19" borderId="66" xfId="0" applyNumberFormat="1" applyFont="1" applyFill="1" applyBorder="1" applyProtection="1"/>
    <xf numFmtId="0" fontId="0" fillId="0" borderId="10" xfId="0" applyBorder="1" applyAlignment="1" applyProtection="1">
      <alignment horizontal="left"/>
    </xf>
    <xf numFmtId="3" fontId="1" fillId="19" borderId="33" xfId="0" applyNumberFormat="1" applyFont="1" applyFill="1" applyBorder="1" applyProtection="1"/>
    <xf numFmtId="3" fontId="1" fillId="19" borderId="32" xfId="0" applyNumberFormat="1" applyFont="1" applyFill="1" applyBorder="1" applyProtection="1"/>
    <xf numFmtId="3" fontId="1" fillId="19" borderId="50" xfId="0" applyNumberFormat="1" applyFont="1" applyFill="1" applyBorder="1" applyProtection="1"/>
    <xf numFmtId="9" fontId="1" fillId="19" borderId="67" xfId="0" applyNumberFormat="1" applyFont="1" applyFill="1" applyBorder="1" applyProtection="1"/>
    <xf numFmtId="9" fontId="1" fillId="19" borderId="68" xfId="0" applyNumberFormat="1" applyFont="1" applyFill="1" applyBorder="1" applyProtection="1"/>
    <xf numFmtId="3" fontId="0" fillId="0" borderId="20" xfId="0" applyNumberFormat="1" applyFill="1" applyBorder="1" applyProtection="1"/>
    <xf numFmtId="3" fontId="0" fillId="0" borderId="24" xfId="0" applyNumberFormat="1" applyFill="1" applyBorder="1" applyProtection="1"/>
    <xf numFmtId="3" fontId="0" fillId="0" borderId="0" xfId="0" applyNumberFormat="1" applyFill="1" applyProtection="1"/>
    <xf numFmtId="3" fontId="0" fillId="0" borderId="19" xfId="0" applyNumberFormat="1" applyFill="1" applyBorder="1" applyProtection="1"/>
    <xf numFmtId="9" fontId="1" fillId="17" borderId="17" xfId="0" applyNumberFormat="1" applyFont="1" applyFill="1" applyBorder="1" applyProtection="1"/>
    <xf numFmtId="9" fontId="0" fillId="0" borderId="17" xfId="0" applyNumberFormat="1" applyBorder="1" applyProtection="1"/>
    <xf numFmtId="3" fontId="1" fillId="19" borderId="37" xfId="0" applyNumberFormat="1" applyFont="1" applyFill="1" applyBorder="1" applyProtection="1"/>
    <xf numFmtId="3" fontId="1" fillId="19" borderId="36" xfId="0" applyNumberFormat="1" applyFont="1" applyFill="1" applyBorder="1" applyProtection="1"/>
    <xf numFmtId="3" fontId="1" fillId="19" borderId="41" xfId="0" applyNumberFormat="1" applyFont="1" applyFill="1" applyBorder="1" applyProtection="1"/>
    <xf numFmtId="3" fontId="1" fillId="19" borderId="51" xfId="0" applyNumberFormat="1" applyFont="1" applyFill="1" applyBorder="1" applyProtection="1"/>
    <xf numFmtId="3" fontId="1" fillId="19" borderId="38" xfId="0" applyNumberFormat="1" applyFont="1" applyFill="1" applyBorder="1" applyProtection="1"/>
    <xf numFmtId="9" fontId="1" fillId="19" borderId="69" xfId="0" applyNumberFormat="1" applyFont="1" applyFill="1" applyBorder="1" applyProtection="1"/>
    <xf numFmtId="3" fontId="1" fillId="19" borderId="46" xfId="0" applyNumberFormat="1" applyFont="1" applyFill="1" applyBorder="1" applyProtection="1"/>
    <xf numFmtId="9" fontId="1" fillId="19" borderId="53" xfId="0" applyNumberFormat="1" applyFont="1" applyFill="1" applyBorder="1" applyProtection="1"/>
    <xf numFmtId="0" fontId="0" fillId="0" borderId="15" xfId="0" applyBorder="1" applyAlignment="1" applyProtection="1">
      <alignment horizontal="left"/>
    </xf>
    <xf numFmtId="3" fontId="1" fillId="17" borderId="25" xfId="0" applyNumberFormat="1" applyFont="1" applyFill="1" applyBorder="1" applyProtection="1"/>
    <xf numFmtId="3" fontId="1" fillId="17" borderId="13" xfId="0" applyNumberFormat="1" applyFont="1" applyFill="1" applyBorder="1" applyProtection="1"/>
    <xf numFmtId="3" fontId="1" fillId="17" borderId="26" xfId="0" applyNumberFormat="1" applyFont="1" applyFill="1" applyBorder="1" applyProtection="1"/>
    <xf numFmtId="3" fontId="1" fillId="17" borderId="42" xfId="0" applyNumberFormat="1" applyFont="1" applyFill="1" applyBorder="1" applyProtection="1"/>
    <xf numFmtId="3" fontId="1" fillId="17" borderId="52" xfId="0" applyNumberFormat="1" applyFont="1" applyFill="1" applyBorder="1" applyProtection="1"/>
    <xf numFmtId="3" fontId="1" fillId="17" borderId="15" xfId="0" applyNumberFormat="1" applyFont="1" applyFill="1" applyBorder="1" applyProtection="1"/>
    <xf numFmtId="9" fontId="1" fillId="17" borderId="63" xfId="0" applyNumberFormat="1" applyFont="1" applyFill="1" applyBorder="1" applyProtection="1"/>
    <xf numFmtId="3" fontId="1" fillId="17" borderId="47" xfId="0" applyNumberFormat="1" applyFont="1" applyFill="1" applyBorder="1" applyProtection="1"/>
    <xf numFmtId="9" fontId="1" fillId="17" borderId="58" xfId="0" applyNumberFormat="1" applyFont="1" applyFill="1" applyBorder="1" applyProtection="1"/>
    <xf numFmtId="0" fontId="0" fillId="0" borderId="0" xfId="0" applyFill="1" applyProtection="1"/>
    <xf numFmtId="4" fontId="0" fillId="0" borderId="0" xfId="0" applyNumberFormat="1" applyProtection="1">
      <protection locked="0"/>
    </xf>
    <xf numFmtId="9" fontId="0" fillId="17" borderId="56" xfId="0" applyNumberFormat="1" applyFill="1" applyBorder="1" applyProtection="1"/>
    <xf numFmtId="39" fontId="0" fillId="0" borderId="0" xfId="0" applyNumberFormat="1"/>
    <xf numFmtId="0" fontId="1" fillId="19" borderId="16" xfId="37" applyFont="1" applyFill="1" applyBorder="1" applyAlignment="1">
      <alignment horizontal="center"/>
    </xf>
    <xf numFmtId="0" fontId="1" fillId="19" borderId="25" xfId="0" applyFont="1" applyFill="1" applyBorder="1" applyAlignment="1">
      <alignment horizontal="center"/>
    </xf>
    <xf numFmtId="0" fontId="1" fillId="19" borderId="54" xfId="0" applyFont="1" applyFill="1" applyBorder="1" applyAlignment="1" applyProtection="1">
      <alignment horizontal="center"/>
    </xf>
    <xf numFmtId="0" fontId="1" fillId="19" borderId="52" xfId="0" applyFont="1" applyFill="1" applyBorder="1" applyAlignment="1" applyProtection="1">
      <alignment horizontal="center"/>
    </xf>
    <xf numFmtId="3" fontId="0" fillId="19" borderId="48" xfId="0" applyNumberFormat="1" applyFill="1" applyBorder="1" applyProtection="1"/>
    <xf numFmtId="3" fontId="2" fillId="22" borderId="0" xfId="37" applyNumberFormat="1" applyFill="1"/>
    <xf numFmtId="4" fontId="0" fillId="0" borderId="0" xfId="0" applyNumberFormat="1"/>
    <xf numFmtId="1" fontId="2" fillId="22" borderId="0" xfId="37" applyNumberFormat="1" applyFill="1"/>
    <xf numFmtId="4" fontId="1" fillId="19" borderId="0" xfId="0" applyNumberFormat="1" applyFont="1" applyFill="1"/>
    <xf numFmtId="4" fontId="1" fillId="19" borderId="41" xfId="0" applyNumberFormat="1" applyFont="1" applyFill="1" applyBorder="1"/>
    <xf numFmtId="4" fontId="1" fillId="19" borderId="19" xfId="0" applyNumberFormat="1" applyFont="1" applyFill="1" applyBorder="1"/>
    <xf numFmtId="0" fontId="29" fillId="0" borderId="12" xfId="0" applyFont="1" applyBorder="1" applyAlignment="1">
      <alignment horizontal="center"/>
    </xf>
    <xf numFmtId="14" fontId="29" fillId="0" borderId="13" xfId="0" applyNumberFormat="1" applyFont="1" applyBorder="1" applyAlignment="1">
      <alignment horizontal="center"/>
    </xf>
    <xf numFmtId="3" fontId="29" fillId="17" borderId="0" xfId="0" applyNumberFormat="1" applyFont="1" applyFill="1"/>
    <xf numFmtId="3" fontId="29" fillId="19" borderId="0" xfId="0" applyNumberFormat="1" applyFont="1" applyFill="1"/>
    <xf numFmtId="3" fontId="29" fillId="19" borderId="28" xfId="0" applyNumberFormat="1" applyFont="1" applyFill="1" applyBorder="1"/>
    <xf numFmtId="3" fontId="29" fillId="19" borderId="32" xfId="0" applyNumberFormat="1" applyFont="1" applyFill="1" applyBorder="1"/>
    <xf numFmtId="3" fontId="29" fillId="19" borderId="36" xfId="0" applyNumberFormat="1" applyFont="1" applyFill="1" applyBorder="1"/>
    <xf numFmtId="3" fontId="29" fillId="17" borderId="13" xfId="0" applyNumberFormat="1" applyFont="1" applyFill="1" applyBorder="1"/>
    <xf numFmtId="0" fontId="29" fillId="18" borderId="12" xfId="37" applyFont="1" applyFill="1" applyBorder="1" applyAlignment="1">
      <alignment horizontal="center"/>
    </xf>
    <xf numFmtId="14" fontId="29" fillId="18" borderId="13" xfId="0" applyNumberFormat="1" applyFont="1" applyFill="1" applyBorder="1" applyAlignment="1">
      <alignment horizontal="center"/>
    </xf>
    <xf numFmtId="3" fontId="29" fillId="19" borderId="0" xfId="37" applyNumberFormat="1" applyFont="1" applyFill="1" applyProtection="1">
      <protection locked="0"/>
    </xf>
    <xf numFmtId="3" fontId="29" fillId="19" borderId="36" xfId="37" applyNumberFormat="1" applyFont="1" applyFill="1" applyBorder="1" applyProtection="1">
      <protection locked="0"/>
    </xf>
    <xf numFmtId="39" fontId="0" fillId="17" borderId="20" xfId="0" applyNumberFormat="1" applyFill="1" applyBorder="1"/>
    <xf numFmtId="39" fontId="0" fillId="0" borderId="20" xfId="0" applyNumberFormat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ConsolFinancialstemplate_whm_Q2_v3" xfId="37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282575</xdr:colOff>
      <xdr:row>2</xdr:row>
      <xdr:rowOff>53975</xdr:rowOff>
    </xdr:from>
    <xdr:ext cx="2614689" cy="285206"/>
    <xdr:sp macro="" textlink="">
      <xdr:nvSpPr>
        <xdr:cNvPr id="2" name="TextBox 1"/>
        <xdr:cNvSpPr txBox="1"/>
      </xdr:nvSpPr>
      <xdr:spPr>
        <a:xfrm>
          <a:off x="1806575" y="406400"/>
          <a:ext cx="23174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DD0806"/>
              </a:solidFill>
              <a:latin typeface="Calibri"/>
            </a:rPr>
            <a:t>Enter Current Quarter on each sheet</a:t>
          </a:r>
        </a:p>
      </xdr:txBody>
    </xdr:sp>
    <xdr:clientData/>
  </xdr:oneCellAnchor>
  <xdr:twoCellAnchor>
    <xdr:from>
      <xdr:col>4</xdr:col>
      <xdr:colOff>66675</xdr:colOff>
      <xdr:row>3</xdr:row>
      <xdr:rowOff>9525</xdr:rowOff>
    </xdr:from>
    <xdr:to>
      <xdr:col>4</xdr:col>
      <xdr:colOff>295275</xdr:colOff>
      <xdr:row>3</xdr:row>
      <xdr:rowOff>57150</xdr:rowOff>
    </xdr:to>
    <xdr:cxnSp macro="">
      <xdr:nvCxnSpPr>
        <xdr:cNvPr id="1126" name="Straight Arrow Connector 3"/>
        <xdr:cNvCxnSpPr>
          <a:cxnSpLocks noChangeShapeType="1"/>
          <a:stCxn id="2" idx="1"/>
        </xdr:cNvCxnSpPr>
      </xdr:nvCxnSpPr>
      <xdr:spPr bwMode="auto">
        <a:xfrm rot="10800000" flipV="1">
          <a:off x="1590675" y="533400"/>
          <a:ext cx="228600" cy="47625"/>
        </a:xfrm>
        <a:prstGeom prst="straightConnector1">
          <a:avLst/>
        </a:prstGeom>
        <a:noFill/>
        <a:ln w="25400">
          <a:solidFill>
            <a:srgbClr val="000000"/>
          </a:solidFill>
          <a:round/>
          <a:headEnd/>
          <a:tailEnd type="arrow" w="med" len="med"/>
        </a:ln>
        <a:effectLst>
          <a:outerShdw blurRad="40000" dist="20000" dir="5400000" rotWithShape="0">
            <a:srgbClr val="80808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3</xdr:row>
      <xdr:rowOff>57150</xdr:rowOff>
    </xdr:from>
    <xdr:to>
      <xdr:col>4</xdr:col>
      <xdr:colOff>428625</xdr:colOff>
      <xdr:row>3</xdr:row>
      <xdr:rowOff>104775</xdr:rowOff>
    </xdr:to>
    <xdr:cxnSp macro="">
      <xdr:nvCxnSpPr>
        <xdr:cNvPr id="7269" name="Straight Arrow Connector 1"/>
        <xdr:cNvCxnSpPr>
          <a:cxnSpLocks noChangeShapeType="1"/>
        </xdr:cNvCxnSpPr>
      </xdr:nvCxnSpPr>
      <xdr:spPr bwMode="auto">
        <a:xfrm rot="10800000" flipV="1">
          <a:off x="1924050" y="609600"/>
          <a:ext cx="228600" cy="47625"/>
        </a:xfrm>
        <a:prstGeom prst="straightConnector1">
          <a:avLst/>
        </a:prstGeom>
        <a:noFill/>
        <a:ln w="25400">
          <a:solidFill>
            <a:srgbClr val="000000"/>
          </a:solidFill>
          <a:round/>
          <a:headEnd/>
          <a:tailEnd type="arrow" w="med" len="med"/>
        </a:ln>
        <a:effectLst>
          <a:outerShdw blurRad="40000" dist="20000" dir="5400000" rotWithShape="0">
            <a:srgbClr val="80808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4</xdr:col>
      <xdr:colOff>511175</xdr:colOff>
      <xdr:row>1</xdr:row>
      <xdr:rowOff>127000</xdr:rowOff>
    </xdr:from>
    <xdr:ext cx="1590947" cy="436786"/>
    <xdr:sp macro="" textlink="">
      <xdr:nvSpPr>
        <xdr:cNvPr id="4" name="TextBox 3"/>
        <xdr:cNvSpPr txBox="1"/>
      </xdr:nvSpPr>
      <xdr:spPr>
        <a:xfrm>
          <a:off x="2244725" y="317500"/>
          <a:ext cx="1557097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DD0806"/>
              </a:solidFill>
              <a:latin typeface="Calibri"/>
            </a:rPr>
            <a:t>Enter Current Quarter on each Sheet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3</xdr:row>
      <xdr:rowOff>28575</xdr:rowOff>
    </xdr:from>
    <xdr:to>
      <xdr:col>4</xdr:col>
      <xdr:colOff>409575</xdr:colOff>
      <xdr:row>3</xdr:row>
      <xdr:rowOff>76200</xdr:rowOff>
    </xdr:to>
    <xdr:cxnSp macro="">
      <xdr:nvCxnSpPr>
        <xdr:cNvPr id="8381" name="Straight Arrow Connector 1"/>
        <xdr:cNvCxnSpPr>
          <a:cxnSpLocks noChangeShapeType="1"/>
        </xdr:cNvCxnSpPr>
      </xdr:nvCxnSpPr>
      <xdr:spPr bwMode="auto">
        <a:xfrm rot="10800000" flipV="1">
          <a:off x="1905000" y="581025"/>
          <a:ext cx="228600" cy="47625"/>
        </a:xfrm>
        <a:prstGeom prst="straightConnector1">
          <a:avLst/>
        </a:prstGeom>
        <a:noFill/>
        <a:ln w="25400">
          <a:solidFill>
            <a:srgbClr val="000000"/>
          </a:solidFill>
          <a:round/>
          <a:headEnd/>
          <a:tailEnd type="arrow" w="med" len="med"/>
        </a:ln>
        <a:effectLst>
          <a:outerShdw blurRad="40000" dist="20000" dir="5400000" rotWithShape="0">
            <a:srgbClr val="80808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485775</xdr:colOff>
      <xdr:row>2</xdr:row>
      <xdr:rowOff>12700</xdr:rowOff>
    </xdr:from>
    <xdr:to>
      <xdr:col>6</xdr:col>
      <xdr:colOff>57388</xdr:colOff>
      <xdr:row>4</xdr:row>
      <xdr:rowOff>0</xdr:rowOff>
    </xdr:to>
    <xdr:sp macro="" textlink="">
      <xdr:nvSpPr>
        <xdr:cNvPr id="3" name="TextBox 2"/>
        <xdr:cNvSpPr txBox="1"/>
      </xdr:nvSpPr>
      <xdr:spPr>
        <a:xfrm>
          <a:off x="2247900" y="381000"/>
          <a:ext cx="14732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DD0806"/>
              </a:solidFill>
              <a:latin typeface="Calibri"/>
            </a:rPr>
            <a:t>Enter Current Quarter on eac Sheet</a:t>
          </a:r>
        </a:p>
      </xdr:txBody>
    </xdr:sp>
    <xdr:clientData/>
  </xdr:twoCellAnchor>
  <xdr:twoCellAnchor>
    <xdr:from>
      <xdr:col>4</xdr:col>
      <xdr:colOff>177800</xdr:colOff>
      <xdr:row>3</xdr:row>
      <xdr:rowOff>25400</xdr:rowOff>
    </xdr:from>
    <xdr:to>
      <xdr:col>4</xdr:col>
      <xdr:colOff>406400</xdr:colOff>
      <xdr:row>3</xdr:row>
      <xdr:rowOff>76200</xdr:rowOff>
    </xdr:to>
    <xdr:cxnSp macro="">
      <xdr:nvCxnSpPr>
        <xdr:cNvPr id="8315" name="Straight Arrow Connector 1"/>
        <xdr:cNvCxnSpPr>
          <a:cxnSpLocks noChangeShapeType="1"/>
        </xdr:cNvCxnSpPr>
      </xdr:nvCxnSpPr>
      <xdr:spPr bwMode="auto">
        <a:xfrm rot="10800000" flipV="1">
          <a:off x="1892300" y="571500"/>
          <a:ext cx="266700" cy="50800"/>
        </a:xfrm>
        <a:prstGeom prst="straightConnector1">
          <a:avLst/>
        </a:prstGeom>
        <a:noFill/>
        <a:ln w="25400">
          <a:solidFill>
            <a:srgbClr val="000000"/>
          </a:solidFill>
          <a:round/>
          <a:headEnd/>
          <a:tailEnd type="arrow" w="med" len="med"/>
        </a:ln>
        <a:effectLst>
          <a:outerShdw blurRad="63500" dist="20000" dir="5400000" rotWithShape="0">
            <a:srgbClr val="000000">
              <a:alpha val="37999"/>
            </a:srgbClr>
          </a:outerShdw>
        </a:effectLst>
      </xdr:spPr>
    </xdr:cxnSp>
    <xdr:clientData/>
  </xdr:twoCellAnchor>
  <xdr:twoCellAnchor>
    <xdr:from>
      <xdr:col>4</xdr:col>
      <xdr:colOff>488950</xdr:colOff>
      <xdr:row>1</xdr:row>
      <xdr:rowOff>50801</xdr:rowOff>
    </xdr:from>
    <xdr:to>
      <xdr:col>6</xdr:col>
      <xdr:colOff>196637</xdr:colOff>
      <xdr:row>4</xdr:row>
      <xdr:rowOff>1</xdr:rowOff>
    </xdr:to>
    <xdr:sp macro="" textlink="">
      <xdr:nvSpPr>
        <xdr:cNvPr id="1026" name="TextBox 2"/>
        <xdr:cNvSpPr txBox="1">
          <a:spLocks noChangeArrowheads="1"/>
        </xdr:cNvSpPr>
      </xdr:nvSpPr>
      <xdr:spPr bwMode="auto">
        <a:xfrm>
          <a:off x="2251075" y="254001"/>
          <a:ext cx="1635125" cy="46990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DD0806"/>
              </a:solidFill>
              <a:latin typeface="Calibri"/>
            </a:rPr>
            <a:t>Enter Current Quarter on each Sheet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142875</xdr:rowOff>
    </xdr:from>
    <xdr:to>
      <xdr:col>4</xdr:col>
      <xdr:colOff>333375</xdr:colOff>
      <xdr:row>3</xdr:row>
      <xdr:rowOff>85725</xdr:rowOff>
    </xdr:to>
    <xdr:cxnSp macro="">
      <xdr:nvCxnSpPr>
        <xdr:cNvPr id="9403" name="Straight Arrow Connector 1"/>
        <xdr:cNvCxnSpPr>
          <a:cxnSpLocks noChangeShapeType="1"/>
        </xdr:cNvCxnSpPr>
      </xdr:nvCxnSpPr>
      <xdr:spPr bwMode="auto">
        <a:xfrm rot="10800000" flipV="1">
          <a:off x="1819275" y="495300"/>
          <a:ext cx="238125" cy="142875"/>
        </a:xfrm>
        <a:prstGeom prst="straightConnector1">
          <a:avLst/>
        </a:prstGeom>
        <a:noFill/>
        <a:ln w="25400">
          <a:solidFill>
            <a:srgbClr val="000000"/>
          </a:solidFill>
          <a:round/>
          <a:headEnd/>
          <a:tailEnd type="arrow" w="med" len="med"/>
        </a:ln>
        <a:effectLst>
          <a:outerShdw blurRad="40000" dist="20000" dir="5400000" rotWithShape="0">
            <a:srgbClr val="80808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428625</xdr:colOff>
      <xdr:row>2</xdr:row>
      <xdr:rowOff>0</xdr:rowOff>
    </xdr:from>
    <xdr:to>
      <xdr:col>11</xdr:col>
      <xdr:colOff>241366</xdr:colOff>
      <xdr:row>3</xdr:row>
      <xdr:rowOff>165100</xdr:rowOff>
    </xdr:to>
    <xdr:sp macro="" textlink="">
      <xdr:nvSpPr>
        <xdr:cNvPr id="7" name="TextBox 6"/>
        <xdr:cNvSpPr txBox="1"/>
      </xdr:nvSpPr>
      <xdr:spPr>
        <a:xfrm>
          <a:off x="2209800" y="368300"/>
          <a:ext cx="28194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DD0806"/>
              </a:solidFill>
              <a:latin typeface="Calibri"/>
            </a:rPr>
            <a:t>Enter Current Quarter on each Sheet</a:t>
          </a:r>
        </a:p>
      </xdr:txBody>
    </xdr:sp>
    <xdr:clientData/>
  </xdr:twoCellAnchor>
  <xdr:twoCellAnchor>
    <xdr:from>
      <xdr:col>4</xdr:col>
      <xdr:colOff>95250</xdr:colOff>
      <xdr:row>2</xdr:row>
      <xdr:rowOff>139700</xdr:rowOff>
    </xdr:from>
    <xdr:to>
      <xdr:col>4</xdr:col>
      <xdr:colOff>336112</xdr:colOff>
      <xdr:row>3</xdr:row>
      <xdr:rowOff>88900</xdr:rowOff>
    </xdr:to>
    <xdr:cxnSp macro="">
      <xdr:nvCxnSpPr>
        <xdr:cNvPr id="9337" name="Straight Arrow Connector 1"/>
        <xdr:cNvCxnSpPr>
          <a:cxnSpLocks noChangeShapeType="1"/>
        </xdr:cNvCxnSpPr>
      </xdr:nvCxnSpPr>
      <xdr:spPr bwMode="auto">
        <a:xfrm rot="10800000" flipV="1">
          <a:off x="1816100" y="508000"/>
          <a:ext cx="279400" cy="127000"/>
        </a:xfrm>
        <a:prstGeom prst="straightConnector1">
          <a:avLst/>
        </a:prstGeom>
        <a:noFill/>
        <a:ln w="25400">
          <a:solidFill>
            <a:srgbClr val="000000"/>
          </a:solidFill>
          <a:round/>
          <a:headEnd/>
          <a:tailEnd type="arrow" w="med" len="med"/>
        </a:ln>
        <a:effectLst>
          <a:outerShdw blurRad="63500" dist="20000" dir="5400000" rotWithShape="0">
            <a:srgbClr val="000000">
              <a:alpha val="37999"/>
            </a:srgbClr>
          </a:outerShdw>
        </a:effectLst>
      </xdr:spPr>
    </xdr:cxnSp>
    <xdr:clientData/>
  </xdr:twoCellAnchor>
  <xdr:twoCellAnchor>
    <xdr:from>
      <xdr:col>4</xdr:col>
      <xdr:colOff>426085</xdr:colOff>
      <xdr:row>2</xdr:row>
      <xdr:rowOff>0</xdr:rowOff>
    </xdr:from>
    <xdr:to>
      <xdr:col>11</xdr:col>
      <xdr:colOff>238826</xdr:colOff>
      <xdr:row>3</xdr:row>
      <xdr:rowOff>160387</xdr:rowOff>
    </xdr:to>
    <xdr:sp macro="" textlink="">
      <xdr:nvSpPr>
        <xdr:cNvPr id="3" name="TextBox 6"/>
        <xdr:cNvSpPr txBox="1"/>
      </xdr:nvSpPr>
      <xdr:spPr>
        <a:xfrm>
          <a:off x="2209800" y="368300"/>
          <a:ext cx="28194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DD0806"/>
              </a:solidFill>
              <a:latin typeface="Calibri"/>
            </a:rPr>
            <a:t>Enter Current Quarter on each Sheet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7"/>
    <pageSetUpPr fitToPage="1"/>
  </sheetPr>
  <dimension ref="A1:U175"/>
  <sheetViews>
    <sheetView tabSelected="1" zoomScaleNormal="100" workbookViewId="0">
      <pane xSplit="5" ySplit="6" topLeftCell="F7" activePane="bottomRight" state="frozen"/>
      <selection activeCell="E141" sqref="E141"/>
      <selection pane="topRight" activeCell="E141" sqref="E141"/>
      <selection pane="bottomLeft" activeCell="E141" sqref="E141"/>
      <selection pane="bottomRight" activeCell="F7" sqref="F7"/>
    </sheetView>
  </sheetViews>
  <sheetFormatPr defaultColWidth="11.07421875" defaultRowHeight="13.5" outlineLevelRow="1" outlineLevelCol="1" x14ac:dyDescent="0.3"/>
  <cols>
    <col min="1" max="2" width="4.69140625" customWidth="1"/>
    <col min="3" max="3" width="6.3828125" customWidth="1"/>
    <col min="4" max="4" width="4.07421875" customWidth="1"/>
    <col min="5" max="5" width="14.61328125" customWidth="1"/>
    <col min="6" max="6" width="7.69140625" customWidth="1"/>
    <col min="7" max="7" width="11.921875" customWidth="1"/>
    <col min="8" max="9" width="11.921875" customWidth="1" outlineLevel="1"/>
    <col min="10" max="10" width="12.921875" customWidth="1" outlineLevel="1"/>
    <col min="11" max="11" width="11.921875" customWidth="1" outlineLevel="1"/>
    <col min="12" max="12" width="12" customWidth="1"/>
    <col min="14" max="14" width="12.07421875" customWidth="1"/>
    <col min="16" max="16" width="12.69140625" customWidth="1"/>
    <col min="17" max="17" width="12" customWidth="1"/>
    <col min="19" max="19" width="10.07421875" style="220" customWidth="1"/>
    <col min="21" max="21" width="11.07421875" style="220"/>
  </cols>
  <sheetData>
    <row r="1" spans="1:21" ht="15" x14ac:dyDescent="0.3">
      <c r="A1" s="2" t="s">
        <v>193</v>
      </c>
    </row>
    <row r="2" spans="1:21" x14ac:dyDescent="0.3">
      <c r="A2" s="21" t="s">
        <v>84</v>
      </c>
    </row>
    <row r="3" spans="1:21" ht="14" thickBot="1" x14ac:dyDescent="0.35">
      <c r="A3" s="1" t="s">
        <v>130</v>
      </c>
    </row>
    <row r="4" spans="1:21" ht="14" thickBot="1" x14ac:dyDescent="0.35">
      <c r="A4" s="1" t="s">
        <v>35</v>
      </c>
      <c r="D4" s="36">
        <v>4</v>
      </c>
    </row>
    <row r="5" spans="1:21" x14ac:dyDescent="0.3">
      <c r="A5" s="1"/>
      <c r="F5" s="11" t="s">
        <v>217</v>
      </c>
      <c r="G5" s="119" t="s">
        <v>269</v>
      </c>
      <c r="H5" s="9" t="s">
        <v>131</v>
      </c>
      <c r="I5" s="7" t="s">
        <v>131</v>
      </c>
      <c r="J5" s="7" t="s">
        <v>131</v>
      </c>
      <c r="K5" s="7" t="s">
        <v>131</v>
      </c>
      <c r="L5" s="5" t="s">
        <v>139</v>
      </c>
      <c r="M5" s="6" t="s">
        <v>139</v>
      </c>
      <c r="N5" s="6" t="s">
        <v>139</v>
      </c>
      <c r="O5" s="6" t="s">
        <v>139</v>
      </c>
      <c r="P5" s="117" t="s">
        <v>30</v>
      </c>
      <c r="Q5" s="114" t="s">
        <v>20</v>
      </c>
      <c r="R5" s="115" t="s">
        <v>140</v>
      </c>
      <c r="S5" s="244" t="s">
        <v>140</v>
      </c>
      <c r="T5" s="245" t="s">
        <v>141</v>
      </c>
      <c r="U5" s="246" t="s">
        <v>271</v>
      </c>
    </row>
    <row r="6" spans="1:21" x14ac:dyDescent="0.3">
      <c r="F6" s="12" t="s">
        <v>218</v>
      </c>
      <c r="G6" s="120" t="s">
        <v>423</v>
      </c>
      <c r="H6" s="167">
        <v>40723</v>
      </c>
      <c r="I6" s="168">
        <v>40815</v>
      </c>
      <c r="J6" s="168">
        <v>40907</v>
      </c>
      <c r="K6" s="168">
        <v>40998</v>
      </c>
      <c r="L6" s="167">
        <v>40723</v>
      </c>
      <c r="M6" s="168">
        <v>40815</v>
      </c>
      <c r="N6" s="168">
        <v>40907</v>
      </c>
      <c r="O6" s="168">
        <v>40998</v>
      </c>
      <c r="P6" s="174" t="s">
        <v>433</v>
      </c>
      <c r="Q6" s="175" t="s">
        <v>433</v>
      </c>
      <c r="R6" s="116" t="s">
        <v>16</v>
      </c>
      <c r="S6" s="247" t="s">
        <v>18</v>
      </c>
      <c r="T6" s="248" t="s">
        <v>19</v>
      </c>
      <c r="U6" s="249" t="s">
        <v>111</v>
      </c>
    </row>
    <row r="7" spans="1:21" x14ac:dyDescent="0.3">
      <c r="A7" s="1" t="s">
        <v>194</v>
      </c>
      <c r="B7" s="1"/>
      <c r="F7" s="13"/>
      <c r="G7" s="24"/>
      <c r="H7" s="22"/>
      <c r="I7" s="22"/>
      <c r="J7" s="22"/>
      <c r="K7" s="22"/>
      <c r="L7" s="40"/>
      <c r="M7" s="22"/>
      <c r="N7" s="22"/>
      <c r="O7" s="22"/>
      <c r="P7" s="23"/>
      <c r="Q7" s="81"/>
      <c r="R7" s="41"/>
      <c r="S7" s="257"/>
      <c r="T7" s="74"/>
      <c r="U7" s="259"/>
    </row>
    <row r="8" spans="1:21" x14ac:dyDescent="0.3">
      <c r="A8" s="1"/>
      <c r="B8" s="1" t="s">
        <v>3</v>
      </c>
      <c r="F8" s="14"/>
      <c r="G8" s="44">
        <f>'CAC Inc Stmt'!G8+'AL Inc Stmt'!G8+'ESL Inc Stmt'!G8</f>
        <v>53696</v>
      </c>
      <c r="H8" s="45">
        <f>'CAC Inc Stmt'!H8+'AL Inc Stmt'!H8+'ESL Inc Stmt'!H8</f>
        <v>8001.5</v>
      </c>
      <c r="I8" s="45">
        <f>'CAC Inc Stmt'!I8+'AL Inc Stmt'!I8+'ESL Inc Stmt'!I8</f>
        <v>22632.95</v>
      </c>
      <c r="J8" s="45">
        <f>'CAC Inc Stmt'!J8+'AL Inc Stmt'!J8+'ESL Inc Stmt'!J8</f>
        <v>30874.91</v>
      </c>
      <c r="K8" s="45">
        <f>'CAC Inc Stmt'!K8+'AL Inc Stmt'!K8+'ESL Inc Stmt'!K8</f>
        <v>41567.78</v>
      </c>
      <c r="L8" s="46">
        <f>'CAC Inc Stmt'!L8+'AL Inc Stmt'!L8+'ESL Inc Stmt'!L8</f>
        <v>8001.5</v>
      </c>
      <c r="M8" s="45">
        <f>'CAC Inc Stmt'!M8+'AL Inc Stmt'!M8+'ESL Inc Stmt'!M8</f>
        <v>14631.45</v>
      </c>
      <c r="N8" s="45">
        <f>'CAC Inc Stmt'!N8+'AL Inc Stmt'!N8+'ESL Inc Stmt'!N8</f>
        <v>8241.9600000000009</v>
      </c>
      <c r="O8" s="45">
        <f>'CAC Inc Stmt'!O8+'AL Inc Stmt'!O8+'ESL Inc Stmt'!O8</f>
        <v>10692.869999999999</v>
      </c>
      <c r="P8" s="68">
        <f>'CAC Inc Stmt'!P8+'AL Inc Stmt'!P8+'ESL Inc Stmt'!P8</f>
        <v>41567.78</v>
      </c>
      <c r="Q8" s="82">
        <f>'CAC Inc Stmt'!Q8+'AL Inc Stmt'!Q8+'ESL Inc Stmt'!Q8</f>
        <v>53600.1</v>
      </c>
      <c r="R8" s="47">
        <f>SUM(R9:R18)</f>
        <v>-12032.32</v>
      </c>
      <c r="S8" s="267">
        <f t="shared" ref="S8:S16" si="0">IF(Q8=0,"",P8/Q8)</f>
        <v>0.77551683672231952</v>
      </c>
      <c r="T8" s="75">
        <f>SUM(T9:T18)</f>
        <v>-12128.220000000001</v>
      </c>
      <c r="U8" s="269">
        <f t="shared" ref="U8:U17" si="1">IF(G8=0,"",P8/G8)</f>
        <v>0.77413177890345652</v>
      </c>
    </row>
    <row r="9" spans="1:21" outlineLevel="1" x14ac:dyDescent="0.3">
      <c r="C9" t="s">
        <v>109</v>
      </c>
      <c r="F9" s="14"/>
      <c r="G9" s="24">
        <f>'CAC Inc Stmt'!G9+'AL Inc Stmt'!G9+'ESL Inc Stmt'!G9</f>
        <v>14323</v>
      </c>
      <c r="H9" s="22">
        <f>'CAC Inc Stmt'!H9+'AL Inc Stmt'!H9+'ESL Inc Stmt'!H9</f>
        <v>2802</v>
      </c>
      <c r="I9" s="22">
        <f>'CAC Inc Stmt'!I9+'AL Inc Stmt'!I9+'ESL Inc Stmt'!I9</f>
        <v>2802</v>
      </c>
      <c r="J9" s="22">
        <f>'CAC Inc Stmt'!J9+'AL Inc Stmt'!J9+'ESL Inc Stmt'!J9</f>
        <v>3519</v>
      </c>
      <c r="K9" s="22">
        <f>'CAC Inc Stmt'!K9+'AL Inc Stmt'!K9+'ESL Inc Stmt'!K9</f>
        <v>3709</v>
      </c>
      <c r="L9" s="42">
        <f>'CAC Inc Stmt'!L9+'AL Inc Stmt'!L9+'ESL Inc Stmt'!L9</f>
        <v>2802</v>
      </c>
      <c r="M9" s="22">
        <f>'CAC Inc Stmt'!M9+'AL Inc Stmt'!M9+'ESL Inc Stmt'!M9</f>
        <v>0</v>
      </c>
      <c r="N9" s="22">
        <f>'CAC Inc Stmt'!N9+'AL Inc Stmt'!N9+'ESL Inc Stmt'!N9</f>
        <v>717</v>
      </c>
      <c r="O9" s="22">
        <f>'CAC Inc Stmt'!O9+'AL Inc Stmt'!O9+'ESL Inc Stmt'!O9</f>
        <v>190</v>
      </c>
      <c r="P9" s="23">
        <f>'CAC Inc Stmt'!P9+'AL Inc Stmt'!P9+'ESL Inc Stmt'!P9</f>
        <v>3709</v>
      </c>
      <c r="Q9" s="81">
        <f>'CAC Inc Stmt'!Q9+'AL Inc Stmt'!Q9+'ESL Inc Stmt'!Q9</f>
        <v>14000</v>
      </c>
      <c r="R9" s="41">
        <f>P9-Q9</f>
        <v>-10291</v>
      </c>
      <c r="S9" s="272">
        <f t="shared" si="0"/>
        <v>0.2649285714285714</v>
      </c>
      <c r="T9" s="74">
        <f>P9-G9</f>
        <v>-10614</v>
      </c>
      <c r="U9" s="273">
        <f t="shared" si="1"/>
        <v>0.25895412972142706</v>
      </c>
    </row>
    <row r="10" spans="1:21" outlineLevel="1" x14ac:dyDescent="0.3">
      <c r="C10" t="s">
        <v>110</v>
      </c>
      <c r="F10" s="14" t="s">
        <v>203</v>
      </c>
      <c r="G10" s="24">
        <f>'CAC Inc Stmt'!G10+'AL Inc Stmt'!G10+'ESL Inc Stmt'!G10</f>
        <v>426</v>
      </c>
      <c r="H10" s="22">
        <f>'CAC Inc Stmt'!H10+'AL Inc Stmt'!H10+'ESL Inc Stmt'!H10</f>
        <v>349</v>
      </c>
      <c r="I10" s="22">
        <f>'CAC Inc Stmt'!I10+'AL Inc Stmt'!I10+'ESL Inc Stmt'!I10</f>
        <v>400</v>
      </c>
      <c r="J10" s="22">
        <f>'CAC Inc Stmt'!J10+'AL Inc Stmt'!J10+'ESL Inc Stmt'!J10</f>
        <v>1224</v>
      </c>
      <c r="K10" s="22">
        <f>'CAC Inc Stmt'!K10+'AL Inc Stmt'!K10+'ESL Inc Stmt'!K10</f>
        <v>1455</v>
      </c>
      <c r="L10" s="42">
        <f>'CAC Inc Stmt'!L10+'AL Inc Stmt'!L10+'ESL Inc Stmt'!L10</f>
        <v>349</v>
      </c>
      <c r="M10" s="22">
        <f>'CAC Inc Stmt'!M10+'AL Inc Stmt'!M10+'ESL Inc Stmt'!M10</f>
        <v>51</v>
      </c>
      <c r="N10" s="22">
        <f>'CAC Inc Stmt'!N10+'AL Inc Stmt'!N10+'ESL Inc Stmt'!N10</f>
        <v>824</v>
      </c>
      <c r="O10" s="22">
        <f>'CAC Inc Stmt'!O10+'AL Inc Stmt'!O10+'ESL Inc Stmt'!O10</f>
        <v>231</v>
      </c>
      <c r="P10" s="23">
        <f>'CAC Inc Stmt'!P10+'AL Inc Stmt'!P10+'ESL Inc Stmt'!P10</f>
        <v>1455</v>
      </c>
      <c r="Q10" s="81">
        <f>'CAC Inc Stmt'!Q10+'AL Inc Stmt'!Q10+'ESL Inc Stmt'!Q10</f>
        <v>500</v>
      </c>
      <c r="R10" s="41">
        <f t="shared" ref="R10:R17" si="2">P10-Q10</f>
        <v>955</v>
      </c>
      <c r="S10" s="272">
        <f t="shared" si="0"/>
        <v>2.91</v>
      </c>
      <c r="T10" s="74">
        <f t="shared" ref="T10:T17" si="3">P10-G10</f>
        <v>1029</v>
      </c>
      <c r="U10" s="273">
        <f t="shared" si="1"/>
        <v>3.415492957746479</v>
      </c>
    </row>
    <row r="11" spans="1:21" outlineLevel="1" x14ac:dyDescent="0.3">
      <c r="C11" s="156" t="s">
        <v>419</v>
      </c>
      <c r="F11" s="14"/>
      <c r="G11" s="24">
        <f>'CAC Inc Stmt'!G11+'AL Inc Stmt'!G11+'ESL Inc Stmt'!G11</f>
        <v>0</v>
      </c>
      <c r="H11" s="22">
        <f>'CAC Inc Stmt'!H11+'AL Inc Stmt'!H11+'ESL Inc Stmt'!H11</f>
        <v>0</v>
      </c>
      <c r="I11" s="22">
        <f>'CAC Inc Stmt'!I11+'AL Inc Stmt'!I11+'ESL Inc Stmt'!I11</f>
        <v>0</v>
      </c>
      <c r="J11" s="22">
        <f>'CAC Inc Stmt'!J11+'AL Inc Stmt'!J11+'ESL Inc Stmt'!J11</f>
        <v>0</v>
      </c>
      <c r="K11" s="22">
        <f>'CAC Inc Stmt'!K11+'AL Inc Stmt'!K11+'ESL Inc Stmt'!K11</f>
        <v>0</v>
      </c>
      <c r="L11" s="42">
        <f>'CAC Inc Stmt'!L11+'AL Inc Stmt'!L11+'ESL Inc Stmt'!L11</f>
        <v>0</v>
      </c>
      <c r="M11" s="22">
        <f>'CAC Inc Stmt'!M11+'AL Inc Stmt'!M11+'ESL Inc Stmt'!M11</f>
        <v>0</v>
      </c>
      <c r="N11" s="22">
        <f>'CAC Inc Stmt'!N11+'AL Inc Stmt'!N11+'ESL Inc Stmt'!N11</f>
        <v>0</v>
      </c>
      <c r="O11" s="22">
        <f>'CAC Inc Stmt'!O11+'AL Inc Stmt'!O11+'ESL Inc Stmt'!O11</f>
        <v>0</v>
      </c>
      <c r="P11" s="23">
        <f>'CAC Inc Stmt'!P11+'AL Inc Stmt'!P11+'ESL Inc Stmt'!P11</f>
        <v>0</v>
      </c>
      <c r="Q11" s="81">
        <f>'CAC Inc Stmt'!Q11+'AL Inc Stmt'!Q11+'ESL Inc Stmt'!Q11</f>
        <v>0</v>
      </c>
      <c r="R11" s="41">
        <f t="shared" si="2"/>
        <v>0</v>
      </c>
      <c r="S11" s="272" t="str">
        <f t="shared" si="0"/>
        <v/>
      </c>
      <c r="T11" s="74">
        <f t="shared" si="3"/>
        <v>0</v>
      </c>
      <c r="U11" s="273" t="str">
        <f t="shared" si="1"/>
        <v/>
      </c>
    </row>
    <row r="12" spans="1:21" outlineLevel="1" x14ac:dyDescent="0.3">
      <c r="C12" t="s">
        <v>258</v>
      </c>
      <c r="F12" s="14"/>
      <c r="G12" s="24">
        <f>'CAC Inc Stmt'!G12+'AL Inc Stmt'!G12+'ESL Inc Stmt'!G12</f>
        <v>23114</v>
      </c>
      <c r="H12" s="22">
        <f>'CAC Inc Stmt'!H12+'AL Inc Stmt'!H12+'ESL Inc Stmt'!H12</f>
        <v>248</v>
      </c>
      <c r="I12" s="22">
        <f>'CAC Inc Stmt'!I12+'AL Inc Stmt'!I12+'ESL Inc Stmt'!I12</f>
        <v>5894</v>
      </c>
      <c r="J12" s="22">
        <f>'CAC Inc Stmt'!J12+'AL Inc Stmt'!J12+'ESL Inc Stmt'!J12</f>
        <v>5963</v>
      </c>
      <c r="K12" s="22">
        <f>'CAC Inc Stmt'!K12+'AL Inc Stmt'!K12+'ESL Inc Stmt'!K12</f>
        <v>8972</v>
      </c>
      <c r="L12" s="42">
        <f>'CAC Inc Stmt'!L12+'AL Inc Stmt'!L12+'ESL Inc Stmt'!L12</f>
        <v>248</v>
      </c>
      <c r="M12" s="22">
        <f>'CAC Inc Stmt'!M12+'AL Inc Stmt'!M12+'ESL Inc Stmt'!M12</f>
        <v>5646</v>
      </c>
      <c r="N12" s="22">
        <f>'CAC Inc Stmt'!N12+'AL Inc Stmt'!N12+'ESL Inc Stmt'!N12</f>
        <v>69</v>
      </c>
      <c r="O12" s="22">
        <f>'CAC Inc Stmt'!O12+'AL Inc Stmt'!O12+'ESL Inc Stmt'!O12</f>
        <v>3009</v>
      </c>
      <c r="P12" s="23">
        <f>'CAC Inc Stmt'!P12+'AL Inc Stmt'!P12+'ESL Inc Stmt'!P12</f>
        <v>8972</v>
      </c>
      <c r="Q12" s="81">
        <f>'CAC Inc Stmt'!Q12+'AL Inc Stmt'!Q12+'ESL Inc Stmt'!Q12</f>
        <v>23000</v>
      </c>
      <c r="R12" s="41">
        <f t="shared" si="2"/>
        <v>-14028</v>
      </c>
      <c r="S12" s="272">
        <f t="shared" si="0"/>
        <v>0.39008695652173914</v>
      </c>
      <c r="T12" s="74">
        <f t="shared" si="3"/>
        <v>-14142</v>
      </c>
      <c r="U12" s="273">
        <f t="shared" si="1"/>
        <v>0.38816301808427794</v>
      </c>
    </row>
    <row r="13" spans="1:21" outlineLevel="1" x14ac:dyDescent="0.3">
      <c r="C13" t="s">
        <v>259</v>
      </c>
      <c r="F13" s="14"/>
      <c r="G13" s="24">
        <f>'CAC Inc Stmt'!G13+'AL Inc Stmt'!G13+'ESL Inc Stmt'!G13</f>
        <v>13306</v>
      </c>
      <c r="H13" s="22">
        <f>'CAC Inc Stmt'!H13+'AL Inc Stmt'!H13+'ESL Inc Stmt'!H13</f>
        <v>1595</v>
      </c>
      <c r="I13" s="22">
        <f>'CAC Inc Stmt'!I13+'AL Inc Stmt'!I13+'ESL Inc Stmt'!I13</f>
        <v>6451</v>
      </c>
      <c r="J13" s="22">
        <f>'CAC Inc Stmt'!J13+'AL Inc Stmt'!J13+'ESL Inc Stmt'!J13</f>
        <v>8360.130000000001</v>
      </c>
      <c r="K13" s="22">
        <f>'CAC Inc Stmt'!K13+'AL Inc Stmt'!K13+'ESL Inc Stmt'!K13</f>
        <v>12860</v>
      </c>
      <c r="L13" s="42">
        <f>'CAC Inc Stmt'!L13+'AL Inc Stmt'!L13+'ESL Inc Stmt'!L13</f>
        <v>1595</v>
      </c>
      <c r="M13" s="22">
        <f>'CAC Inc Stmt'!M13+'AL Inc Stmt'!M13+'ESL Inc Stmt'!M13</f>
        <v>4856</v>
      </c>
      <c r="N13" s="22">
        <f>'CAC Inc Stmt'!N13+'AL Inc Stmt'!N13+'ESL Inc Stmt'!N13</f>
        <v>1909.130000000001</v>
      </c>
      <c r="O13" s="22">
        <f>'CAC Inc Stmt'!O13+'AL Inc Stmt'!O13+'ESL Inc Stmt'!O13</f>
        <v>4499.869999999999</v>
      </c>
      <c r="P13" s="23">
        <f>'CAC Inc Stmt'!P13+'AL Inc Stmt'!P13+'ESL Inc Stmt'!P13</f>
        <v>12860</v>
      </c>
      <c r="Q13" s="81">
        <f>'CAC Inc Stmt'!Q13+'AL Inc Stmt'!Q13+'ESL Inc Stmt'!Q13</f>
        <v>13500</v>
      </c>
      <c r="R13" s="41">
        <f t="shared" si="2"/>
        <v>-640</v>
      </c>
      <c r="S13" s="272">
        <f t="shared" si="0"/>
        <v>0.95259259259259255</v>
      </c>
      <c r="T13" s="74">
        <f t="shared" si="3"/>
        <v>-446</v>
      </c>
      <c r="U13" s="273">
        <f t="shared" si="1"/>
        <v>0.96648128663760713</v>
      </c>
    </row>
    <row r="14" spans="1:21" outlineLevel="1" x14ac:dyDescent="0.3">
      <c r="C14" t="s">
        <v>0</v>
      </c>
      <c r="F14" s="14">
        <v>5490</v>
      </c>
      <c r="G14" s="24">
        <f>'CAC Inc Stmt'!G14+'AL Inc Stmt'!G14+'ESL Inc Stmt'!G14</f>
        <v>1265</v>
      </c>
      <c r="H14" s="22">
        <f>'CAC Inc Stmt'!H14+'AL Inc Stmt'!H14+'ESL Inc Stmt'!H14</f>
        <v>627</v>
      </c>
      <c r="I14" s="22">
        <f>'CAC Inc Stmt'!I14+'AL Inc Stmt'!I14+'ESL Inc Stmt'!I14</f>
        <v>691.45</v>
      </c>
      <c r="J14" s="22">
        <f>'CAC Inc Stmt'!J14+'AL Inc Stmt'!J14+'ESL Inc Stmt'!J14</f>
        <v>1178.28</v>
      </c>
      <c r="K14" s="22">
        <f>'CAC Inc Stmt'!K14+'AL Inc Stmt'!K14+'ESL Inc Stmt'!K14</f>
        <v>896.78</v>
      </c>
      <c r="L14" s="42">
        <f>'CAC Inc Stmt'!L14+'AL Inc Stmt'!L14+'ESL Inc Stmt'!L14</f>
        <v>627</v>
      </c>
      <c r="M14" s="22">
        <f>'CAC Inc Stmt'!M14+'AL Inc Stmt'!M14+'ESL Inc Stmt'!M14</f>
        <v>64.450000000000045</v>
      </c>
      <c r="N14" s="22">
        <f>'CAC Inc Stmt'!N14+'AL Inc Stmt'!N14+'ESL Inc Stmt'!N14</f>
        <v>486.82999999999993</v>
      </c>
      <c r="O14" s="22">
        <f>'CAC Inc Stmt'!O14+'AL Inc Stmt'!O14+'ESL Inc Stmt'!O14</f>
        <v>-281.5</v>
      </c>
      <c r="P14" s="23">
        <f>'CAC Inc Stmt'!P14+'AL Inc Stmt'!P14+'ESL Inc Stmt'!P14</f>
        <v>896.78</v>
      </c>
      <c r="Q14" s="81">
        <f>'CAC Inc Stmt'!Q14+'AL Inc Stmt'!Q14+'ESL Inc Stmt'!Q14</f>
        <v>1300.0999999999999</v>
      </c>
      <c r="R14" s="41">
        <f t="shared" si="2"/>
        <v>-403.31999999999994</v>
      </c>
      <c r="S14" s="272">
        <f t="shared" si="0"/>
        <v>0.6897777094069687</v>
      </c>
      <c r="T14" s="74">
        <f t="shared" si="3"/>
        <v>-368.22</v>
      </c>
      <c r="U14" s="273">
        <f t="shared" si="1"/>
        <v>0.70891699604743086</v>
      </c>
    </row>
    <row r="15" spans="1:21" outlineLevel="1" x14ac:dyDescent="0.3">
      <c r="C15" s="176" t="s">
        <v>421</v>
      </c>
      <c r="F15" s="14"/>
      <c r="G15" s="24">
        <f>'CAC Inc Stmt'!G15+'AL Inc Stmt'!G15+'ESL Inc Stmt'!G15</f>
        <v>1262</v>
      </c>
      <c r="H15" s="22">
        <f>'CAC Inc Stmt'!H15+'AL Inc Stmt'!H15+'ESL Inc Stmt'!H15</f>
        <v>2380.5</v>
      </c>
      <c r="I15" s="22">
        <f>'CAC Inc Stmt'!I15+'AL Inc Stmt'!I15+'ESL Inc Stmt'!I15</f>
        <v>6394.5</v>
      </c>
      <c r="J15" s="22">
        <f>'CAC Inc Stmt'!J15+'AL Inc Stmt'!J15+'ESL Inc Stmt'!J15</f>
        <v>10630.5</v>
      </c>
      <c r="K15" s="22">
        <f>'CAC Inc Stmt'!K15+'AL Inc Stmt'!K15+'ESL Inc Stmt'!K15</f>
        <v>13675</v>
      </c>
      <c r="L15" s="42">
        <f>'CAC Inc Stmt'!L15+'AL Inc Stmt'!L15+'ESL Inc Stmt'!L15</f>
        <v>2380.5</v>
      </c>
      <c r="M15" s="22">
        <f>'CAC Inc Stmt'!M15+'AL Inc Stmt'!M15+'ESL Inc Stmt'!M15</f>
        <v>4014</v>
      </c>
      <c r="N15" s="22">
        <f>'CAC Inc Stmt'!N15+'AL Inc Stmt'!N15+'ESL Inc Stmt'!N15</f>
        <v>4236</v>
      </c>
      <c r="O15" s="22">
        <f>'CAC Inc Stmt'!O15+'AL Inc Stmt'!O15+'ESL Inc Stmt'!O15</f>
        <v>3044.5</v>
      </c>
      <c r="P15" s="23">
        <f>'CAC Inc Stmt'!P15+'AL Inc Stmt'!P15+'ESL Inc Stmt'!P15</f>
        <v>13675</v>
      </c>
      <c r="Q15" s="81">
        <f>'CAC Inc Stmt'!Q15+'AL Inc Stmt'!Q15+'ESL Inc Stmt'!Q15</f>
        <v>1300</v>
      </c>
      <c r="R15" s="41">
        <f t="shared" si="2"/>
        <v>12375</v>
      </c>
      <c r="S15" s="272">
        <f t="shared" si="0"/>
        <v>10.51923076923077</v>
      </c>
      <c r="T15" s="74">
        <f t="shared" si="3"/>
        <v>12413</v>
      </c>
      <c r="U15" s="273">
        <f t="shared" si="1"/>
        <v>10.835974643423137</v>
      </c>
    </row>
    <row r="16" spans="1:21" outlineLevel="1" x14ac:dyDescent="0.3">
      <c r="F16" s="14"/>
      <c r="G16" s="24">
        <f>'CAC Inc Stmt'!G16+'AL Inc Stmt'!G16+'ESL Inc Stmt'!G16</f>
        <v>0</v>
      </c>
      <c r="H16" s="22">
        <f>'CAC Inc Stmt'!H16+'AL Inc Stmt'!H16+'ESL Inc Stmt'!H16</f>
        <v>0</v>
      </c>
      <c r="I16" s="22">
        <f>'CAC Inc Stmt'!I16+'AL Inc Stmt'!I16+'ESL Inc Stmt'!I16</f>
        <v>0</v>
      </c>
      <c r="J16" s="22">
        <f>'CAC Inc Stmt'!J16+'AL Inc Stmt'!J16+'ESL Inc Stmt'!J16</f>
        <v>0</v>
      </c>
      <c r="K16" s="22">
        <f>'CAC Inc Stmt'!K16+'AL Inc Stmt'!K16+'ESL Inc Stmt'!K16</f>
        <v>0</v>
      </c>
      <c r="L16" s="42">
        <f>'CAC Inc Stmt'!L16+'AL Inc Stmt'!L16+'ESL Inc Stmt'!L16</f>
        <v>0</v>
      </c>
      <c r="M16" s="22">
        <f>'CAC Inc Stmt'!M16+'AL Inc Stmt'!M16+'ESL Inc Stmt'!M16</f>
        <v>0</v>
      </c>
      <c r="N16" s="22">
        <f>'CAC Inc Stmt'!N16+'AL Inc Stmt'!N16+'ESL Inc Stmt'!N16</f>
        <v>0</v>
      </c>
      <c r="O16" s="22">
        <f>'CAC Inc Stmt'!O16+'AL Inc Stmt'!O16+'ESL Inc Stmt'!O16</f>
        <v>0</v>
      </c>
      <c r="P16" s="23">
        <f>'CAC Inc Stmt'!P16+'AL Inc Stmt'!P16+'ESL Inc Stmt'!P16</f>
        <v>0</v>
      </c>
      <c r="Q16" s="81">
        <f>'CAC Inc Stmt'!Q16+'AL Inc Stmt'!Q16+'ESL Inc Stmt'!Q16</f>
        <v>0</v>
      </c>
      <c r="R16" s="41">
        <f t="shared" si="2"/>
        <v>0</v>
      </c>
      <c r="S16" s="272" t="str">
        <f t="shared" si="0"/>
        <v/>
      </c>
      <c r="T16" s="74">
        <f t="shared" si="3"/>
        <v>0</v>
      </c>
      <c r="U16" s="273" t="str">
        <f t="shared" si="1"/>
        <v/>
      </c>
    </row>
    <row r="17" spans="2:21" outlineLevel="1" x14ac:dyDescent="0.3">
      <c r="F17" s="14"/>
      <c r="G17" s="24">
        <f>'CAC Inc Stmt'!G17+'AL Inc Stmt'!G17+'ESL Inc Stmt'!G17</f>
        <v>0</v>
      </c>
      <c r="H17" s="22">
        <f>'CAC Inc Stmt'!H17+'AL Inc Stmt'!H17+'ESL Inc Stmt'!H17</f>
        <v>0</v>
      </c>
      <c r="I17" s="22">
        <f>'CAC Inc Stmt'!I17+'AL Inc Stmt'!I17+'ESL Inc Stmt'!I17</f>
        <v>0</v>
      </c>
      <c r="J17" s="22">
        <f>'CAC Inc Stmt'!J17+'AL Inc Stmt'!J17+'ESL Inc Stmt'!J17</f>
        <v>0</v>
      </c>
      <c r="K17" s="22">
        <f>'CAC Inc Stmt'!K17+'AL Inc Stmt'!K17+'ESL Inc Stmt'!K17</f>
        <v>0</v>
      </c>
      <c r="L17" s="42">
        <f>'CAC Inc Stmt'!L17+'AL Inc Stmt'!L17+'ESL Inc Stmt'!L17</f>
        <v>0</v>
      </c>
      <c r="M17" s="22">
        <f>'CAC Inc Stmt'!M17+'AL Inc Stmt'!M17+'ESL Inc Stmt'!M17</f>
        <v>0</v>
      </c>
      <c r="N17" s="22">
        <f>'CAC Inc Stmt'!N17+'AL Inc Stmt'!N17+'ESL Inc Stmt'!N17</f>
        <v>0</v>
      </c>
      <c r="O17" s="22">
        <f>'CAC Inc Stmt'!O17+'AL Inc Stmt'!O17+'ESL Inc Stmt'!O17</f>
        <v>0</v>
      </c>
      <c r="P17" s="23">
        <f>'CAC Inc Stmt'!P17+'AL Inc Stmt'!P17+'ESL Inc Stmt'!P17</f>
        <v>0</v>
      </c>
      <c r="Q17" s="81">
        <f>'CAC Inc Stmt'!Q17+'AL Inc Stmt'!Q17+'ESL Inc Stmt'!Q17</f>
        <v>0</v>
      </c>
      <c r="R17" s="41">
        <f t="shared" si="2"/>
        <v>0</v>
      </c>
      <c r="S17" s="257"/>
      <c r="T17" s="74">
        <f t="shared" si="3"/>
        <v>0</v>
      </c>
      <c r="U17" s="275" t="str">
        <f t="shared" si="1"/>
        <v/>
      </c>
    </row>
    <row r="18" spans="2:21" outlineLevel="1" x14ac:dyDescent="0.3">
      <c r="F18" s="14"/>
      <c r="G18" s="24"/>
      <c r="H18" s="22"/>
      <c r="I18" s="22"/>
      <c r="J18" s="22"/>
      <c r="K18" s="22"/>
      <c r="L18" s="42"/>
      <c r="M18" s="22"/>
      <c r="N18" s="22"/>
      <c r="O18" s="22"/>
      <c r="P18" s="23"/>
      <c r="Q18" s="81"/>
      <c r="R18" s="41"/>
      <c r="S18" s="257"/>
      <c r="T18" s="74"/>
      <c r="U18" s="259"/>
    </row>
    <row r="19" spans="2:21" outlineLevel="1" x14ac:dyDescent="0.3">
      <c r="F19" s="14"/>
      <c r="G19" s="24"/>
      <c r="H19" s="22"/>
      <c r="I19" s="22"/>
      <c r="J19" s="22"/>
      <c r="K19" s="22"/>
      <c r="L19" s="42"/>
      <c r="M19" s="22"/>
      <c r="N19" s="22"/>
      <c r="O19" s="22"/>
      <c r="P19" s="23"/>
      <c r="Q19" s="81"/>
      <c r="R19" s="41"/>
      <c r="S19" s="257"/>
      <c r="T19" s="74"/>
      <c r="U19" s="259"/>
    </row>
    <row r="20" spans="2:21" x14ac:dyDescent="0.3">
      <c r="B20" s="1" t="s">
        <v>4</v>
      </c>
      <c r="F20" s="14"/>
      <c r="G20" s="44">
        <f>'CAC Inc Stmt'!G20+'AL Inc Stmt'!G20+'ESL Inc Stmt'!G20</f>
        <v>68614</v>
      </c>
      <c r="H20" s="45">
        <f>'CAC Inc Stmt'!H20+'AL Inc Stmt'!H20+'ESL Inc Stmt'!H20</f>
        <v>6842.0899999999992</v>
      </c>
      <c r="I20" s="45">
        <f>'CAC Inc Stmt'!I20+'AL Inc Stmt'!I20+'ESL Inc Stmt'!I20</f>
        <v>33185</v>
      </c>
      <c r="J20" s="45">
        <f>'CAC Inc Stmt'!J20+'AL Inc Stmt'!J20+'ESL Inc Stmt'!J20</f>
        <v>53266</v>
      </c>
      <c r="K20" s="45">
        <f>'CAC Inc Stmt'!K20+'AL Inc Stmt'!K20+'ESL Inc Stmt'!K20</f>
        <v>72036</v>
      </c>
      <c r="L20" s="46">
        <f>'CAC Inc Stmt'!L20+'AL Inc Stmt'!L20+'ESL Inc Stmt'!L20</f>
        <v>6842.0899999999992</v>
      </c>
      <c r="M20" s="45">
        <f>'CAC Inc Stmt'!M20+'AL Inc Stmt'!M20+'ESL Inc Stmt'!M20</f>
        <v>26342.91</v>
      </c>
      <c r="N20" s="45">
        <f>'CAC Inc Stmt'!N20+'AL Inc Stmt'!N20+'ESL Inc Stmt'!N20</f>
        <v>20081</v>
      </c>
      <c r="O20" s="45">
        <f>'CAC Inc Stmt'!O20+'AL Inc Stmt'!O20+'ESL Inc Stmt'!O20</f>
        <v>18770</v>
      </c>
      <c r="P20" s="68">
        <f>'CAC Inc Stmt'!P20+'AL Inc Stmt'!P20+'ESL Inc Stmt'!P20</f>
        <v>72036</v>
      </c>
      <c r="Q20" s="82">
        <f>'CAC Inc Stmt'!Q20+'AL Inc Stmt'!Q20+'ESL Inc Stmt'!Q20</f>
        <v>68900</v>
      </c>
      <c r="R20" s="47">
        <f>SUM(R21:R32)</f>
        <v>3136</v>
      </c>
      <c r="S20" s="267">
        <f t="shared" ref="S20:S31" si="4">IF(Q20=0,"",P20/Q20)</f>
        <v>1.0455152394775036</v>
      </c>
      <c r="T20" s="75">
        <f>SUM(T21:T32)</f>
        <v>3422</v>
      </c>
      <c r="U20" s="269">
        <f t="shared" ref="U20:U28" si="5">IF(G20=0,"",P20/G20)</f>
        <v>1.0498732037193577</v>
      </c>
    </row>
    <row r="21" spans="2:21" outlineLevel="1" x14ac:dyDescent="0.3">
      <c r="C21" t="s">
        <v>263</v>
      </c>
      <c r="F21" s="14">
        <v>5182</v>
      </c>
      <c r="G21" s="24">
        <f>'CAC Inc Stmt'!G21+'AL Inc Stmt'!G21+'ESL Inc Stmt'!G21</f>
        <v>14556</v>
      </c>
      <c r="H21" s="22">
        <f>'CAC Inc Stmt'!H21+'AL Inc Stmt'!H21+'ESL Inc Stmt'!H21</f>
        <v>1616.07</v>
      </c>
      <c r="I21" s="22">
        <f>'CAC Inc Stmt'!I21+'AL Inc Stmt'!I21+'ESL Inc Stmt'!I21</f>
        <v>9087</v>
      </c>
      <c r="J21" s="22">
        <f>'CAC Inc Stmt'!J21+'AL Inc Stmt'!J21+'ESL Inc Stmt'!J21</f>
        <v>14592</v>
      </c>
      <c r="K21" s="22">
        <f>'CAC Inc Stmt'!K21+'AL Inc Stmt'!K21+'ESL Inc Stmt'!K21</f>
        <v>20809</v>
      </c>
      <c r="L21" s="42">
        <f>'CAC Inc Stmt'!L21+'AL Inc Stmt'!L21+'ESL Inc Stmt'!L21</f>
        <v>1616.07</v>
      </c>
      <c r="M21" s="22">
        <f>'CAC Inc Stmt'!M21+'AL Inc Stmt'!M21+'ESL Inc Stmt'!M21</f>
        <v>7470.93</v>
      </c>
      <c r="N21" s="22">
        <f>'CAC Inc Stmt'!N21+'AL Inc Stmt'!N21+'ESL Inc Stmt'!N21</f>
        <v>5505</v>
      </c>
      <c r="O21" s="22">
        <f>'CAC Inc Stmt'!O21+'AL Inc Stmt'!O21+'ESL Inc Stmt'!O21</f>
        <v>6217</v>
      </c>
      <c r="P21" s="23">
        <f>'CAC Inc Stmt'!P21+'AL Inc Stmt'!P21+'ESL Inc Stmt'!P21</f>
        <v>20809</v>
      </c>
      <c r="Q21" s="81">
        <f>'CAC Inc Stmt'!Q21+'AL Inc Stmt'!Q21+'ESL Inc Stmt'!Q21</f>
        <v>18000</v>
      </c>
      <c r="R21" s="41">
        <f t="shared" ref="R21:R31" si="6">P21-Q21</f>
        <v>2809</v>
      </c>
      <c r="S21" s="272">
        <f t="shared" si="4"/>
        <v>1.1560555555555556</v>
      </c>
      <c r="T21" s="74">
        <f t="shared" ref="T21:T31" si="7">P21-G21</f>
        <v>6253</v>
      </c>
      <c r="U21" s="273">
        <f t="shared" si="5"/>
        <v>1.429582302830448</v>
      </c>
    </row>
    <row r="22" spans="2:21" outlineLevel="1" x14ac:dyDescent="0.3">
      <c r="C22" t="s">
        <v>262</v>
      </c>
      <c r="F22" s="14">
        <v>5181</v>
      </c>
      <c r="G22" s="24">
        <f>'CAC Inc Stmt'!G22+'AL Inc Stmt'!G22+'ESL Inc Stmt'!G22</f>
        <v>32290</v>
      </c>
      <c r="H22" s="22">
        <f>'CAC Inc Stmt'!H22+'AL Inc Stmt'!H22+'ESL Inc Stmt'!H22</f>
        <v>1613</v>
      </c>
      <c r="I22" s="22">
        <f>'CAC Inc Stmt'!I22+'AL Inc Stmt'!I22+'ESL Inc Stmt'!I22</f>
        <v>16072</v>
      </c>
      <c r="J22" s="22">
        <f>'CAC Inc Stmt'!J22+'AL Inc Stmt'!J22+'ESL Inc Stmt'!J22</f>
        <v>23006</v>
      </c>
      <c r="K22" s="22">
        <f>'CAC Inc Stmt'!K22+'AL Inc Stmt'!K22+'ESL Inc Stmt'!K22</f>
        <v>33069</v>
      </c>
      <c r="L22" s="42">
        <f>'CAC Inc Stmt'!L22+'AL Inc Stmt'!L22+'ESL Inc Stmt'!L22</f>
        <v>1613</v>
      </c>
      <c r="M22" s="22">
        <f>'CAC Inc Stmt'!M22+'AL Inc Stmt'!M22+'ESL Inc Stmt'!M22</f>
        <v>14459</v>
      </c>
      <c r="N22" s="22">
        <f>'CAC Inc Stmt'!N22+'AL Inc Stmt'!N22+'ESL Inc Stmt'!N22</f>
        <v>6934</v>
      </c>
      <c r="O22" s="22">
        <f>'CAC Inc Stmt'!O22+'AL Inc Stmt'!O22+'ESL Inc Stmt'!O22</f>
        <v>10063</v>
      </c>
      <c r="P22" s="23">
        <f>'CAC Inc Stmt'!P22+'AL Inc Stmt'!P22+'ESL Inc Stmt'!P22</f>
        <v>33069</v>
      </c>
      <c r="Q22" s="81">
        <f>'CAC Inc Stmt'!Q22+'AL Inc Stmt'!Q22+'ESL Inc Stmt'!Q22</f>
        <v>35000</v>
      </c>
      <c r="R22" s="41">
        <f t="shared" si="6"/>
        <v>-1931</v>
      </c>
      <c r="S22" s="272">
        <f t="shared" si="4"/>
        <v>0.94482857142857146</v>
      </c>
      <c r="T22" s="74">
        <f t="shared" si="7"/>
        <v>779</v>
      </c>
      <c r="U22" s="273">
        <f t="shared" si="5"/>
        <v>1.0241251161350262</v>
      </c>
    </row>
    <row r="23" spans="2:21" outlineLevel="1" x14ac:dyDescent="0.3">
      <c r="C23" t="s">
        <v>264</v>
      </c>
      <c r="F23" s="14" t="s">
        <v>135</v>
      </c>
      <c r="G23" s="24">
        <f>'CAC Inc Stmt'!G23+'AL Inc Stmt'!G23+'ESL Inc Stmt'!G23</f>
        <v>12252</v>
      </c>
      <c r="H23" s="22">
        <f>'CAC Inc Stmt'!H23+'AL Inc Stmt'!H23+'ESL Inc Stmt'!H23</f>
        <v>2248.3200000000002</v>
      </c>
      <c r="I23" s="22">
        <f>'CAC Inc Stmt'!I23+'AL Inc Stmt'!I23+'ESL Inc Stmt'!I23</f>
        <v>3990</v>
      </c>
      <c r="J23" s="22">
        <f>'CAC Inc Stmt'!J23+'AL Inc Stmt'!J23+'ESL Inc Stmt'!J23</f>
        <v>9190</v>
      </c>
      <c r="K23" s="22">
        <f>'CAC Inc Stmt'!K23+'AL Inc Stmt'!K23+'ESL Inc Stmt'!K23</f>
        <v>10580</v>
      </c>
      <c r="L23" s="42">
        <f>'CAC Inc Stmt'!L23+'AL Inc Stmt'!L23+'ESL Inc Stmt'!L23</f>
        <v>2248.3200000000002</v>
      </c>
      <c r="M23" s="22">
        <f>'CAC Inc Stmt'!M23+'AL Inc Stmt'!M23+'ESL Inc Stmt'!M23</f>
        <v>1741.6799999999998</v>
      </c>
      <c r="N23" s="22">
        <f>'CAC Inc Stmt'!N23+'AL Inc Stmt'!N23+'ESL Inc Stmt'!N23</f>
        <v>5200</v>
      </c>
      <c r="O23" s="22">
        <f>'CAC Inc Stmt'!O23+'AL Inc Stmt'!O23+'ESL Inc Stmt'!O23</f>
        <v>1390</v>
      </c>
      <c r="P23" s="23">
        <f>'CAC Inc Stmt'!P23+'AL Inc Stmt'!P23+'ESL Inc Stmt'!P23</f>
        <v>10580</v>
      </c>
      <c r="Q23" s="81">
        <f>'CAC Inc Stmt'!Q23+'AL Inc Stmt'!Q23+'ESL Inc Stmt'!Q23</f>
        <v>8000</v>
      </c>
      <c r="R23" s="41">
        <f t="shared" si="6"/>
        <v>2580</v>
      </c>
      <c r="S23" s="272">
        <f t="shared" si="4"/>
        <v>1.3225</v>
      </c>
      <c r="T23" s="74">
        <f t="shared" si="7"/>
        <v>-1672</v>
      </c>
      <c r="U23" s="273">
        <f t="shared" si="5"/>
        <v>0.86353248449232778</v>
      </c>
    </row>
    <row r="24" spans="2:21" outlineLevel="1" x14ac:dyDescent="0.3">
      <c r="C24" t="s">
        <v>74</v>
      </c>
      <c r="F24" s="14" t="s">
        <v>136</v>
      </c>
      <c r="G24" s="24">
        <f>'CAC Inc Stmt'!G24+'AL Inc Stmt'!G24+'ESL Inc Stmt'!G24</f>
        <v>0</v>
      </c>
      <c r="H24" s="22">
        <f>'CAC Inc Stmt'!H24+'AL Inc Stmt'!H24+'ESL Inc Stmt'!H24</f>
        <v>500</v>
      </c>
      <c r="I24" s="22">
        <f>'CAC Inc Stmt'!I24+'AL Inc Stmt'!I24+'ESL Inc Stmt'!I24</f>
        <v>500</v>
      </c>
      <c r="J24" s="22">
        <f>'CAC Inc Stmt'!J24+'AL Inc Stmt'!J24+'ESL Inc Stmt'!J24</f>
        <v>500</v>
      </c>
      <c r="K24" s="22">
        <f>'CAC Inc Stmt'!K24+'AL Inc Stmt'!K24+'ESL Inc Stmt'!K24</f>
        <v>500</v>
      </c>
      <c r="L24" s="42">
        <f>'CAC Inc Stmt'!L24+'AL Inc Stmt'!L24+'ESL Inc Stmt'!L24</f>
        <v>500</v>
      </c>
      <c r="M24" s="22">
        <f>'CAC Inc Stmt'!M24+'AL Inc Stmt'!M24+'ESL Inc Stmt'!M24</f>
        <v>0</v>
      </c>
      <c r="N24" s="22">
        <f>'CAC Inc Stmt'!N24+'AL Inc Stmt'!N24+'ESL Inc Stmt'!N24</f>
        <v>0</v>
      </c>
      <c r="O24" s="22">
        <f>'CAC Inc Stmt'!O24+'AL Inc Stmt'!O24+'ESL Inc Stmt'!O24</f>
        <v>0</v>
      </c>
      <c r="P24" s="23">
        <f>'CAC Inc Stmt'!P24+'AL Inc Stmt'!P24+'ESL Inc Stmt'!P24</f>
        <v>500</v>
      </c>
      <c r="Q24" s="81">
        <f>'CAC Inc Stmt'!Q24+'AL Inc Stmt'!Q24+'ESL Inc Stmt'!Q24</f>
        <v>0</v>
      </c>
      <c r="R24" s="41">
        <f t="shared" si="6"/>
        <v>500</v>
      </c>
      <c r="S24" s="272" t="str">
        <f t="shared" si="4"/>
        <v/>
      </c>
      <c r="T24" s="74">
        <f t="shared" si="7"/>
        <v>500</v>
      </c>
      <c r="U24" s="273" t="str">
        <f t="shared" si="5"/>
        <v/>
      </c>
    </row>
    <row r="25" spans="2:21" outlineLevel="1" x14ac:dyDescent="0.3">
      <c r="C25" t="s">
        <v>270</v>
      </c>
      <c r="F25" s="14" t="s">
        <v>137</v>
      </c>
      <c r="G25" s="24">
        <f>'CAC Inc Stmt'!G25+'AL Inc Stmt'!G25+'ESL Inc Stmt'!G25</f>
        <v>8040</v>
      </c>
      <c r="H25" s="22">
        <f>'CAC Inc Stmt'!H25+'AL Inc Stmt'!H25+'ESL Inc Stmt'!H25</f>
        <v>1010</v>
      </c>
      <c r="I25" s="22">
        <f>'CAC Inc Stmt'!I25+'AL Inc Stmt'!I25+'ESL Inc Stmt'!I25</f>
        <v>3160</v>
      </c>
      <c r="J25" s="22">
        <f>'CAC Inc Stmt'!J25+'AL Inc Stmt'!J25+'ESL Inc Stmt'!J25</f>
        <v>4880</v>
      </c>
      <c r="K25" s="22">
        <f>'CAC Inc Stmt'!K25+'AL Inc Stmt'!K25+'ESL Inc Stmt'!K25</f>
        <v>5790</v>
      </c>
      <c r="L25" s="42">
        <f>'CAC Inc Stmt'!L25+'AL Inc Stmt'!L25+'ESL Inc Stmt'!L25</f>
        <v>1010</v>
      </c>
      <c r="M25" s="22">
        <f>'CAC Inc Stmt'!M25+'AL Inc Stmt'!M25+'ESL Inc Stmt'!M25</f>
        <v>2150</v>
      </c>
      <c r="N25" s="22">
        <f>'CAC Inc Stmt'!N25+'AL Inc Stmt'!N25+'ESL Inc Stmt'!N25</f>
        <v>1720</v>
      </c>
      <c r="O25" s="22">
        <f>'CAC Inc Stmt'!O25+'AL Inc Stmt'!O25+'ESL Inc Stmt'!O25</f>
        <v>910</v>
      </c>
      <c r="P25" s="23">
        <f>'CAC Inc Stmt'!P25+'AL Inc Stmt'!P25+'ESL Inc Stmt'!P25</f>
        <v>5790</v>
      </c>
      <c r="Q25" s="81">
        <f>'CAC Inc Stmt'!Q25+'AL Inc Stmt'!Q25+'ESL Inc Stmt'!Q25</f>
        <v>6400</v>
      </c>
      <c r="R25" s="41">
        <f t="shared" si="6"/>
        <v>-610</v>
      </c>
      <c r="S25" s="272">
        <f t="shared" si="4"/>
        <v>0.90468749999999998</v>
      </c>
      <c r="T25" s="74">
        <f t="shared" si="7"/>
        <v>-2250</v>
      </c>
      <c r="U25" s="273">
        <f t="shared" si="5"/>
        <v>0.72014925373134331</v>
      </c>
    </row>
    <row r="26" spans="2:21" outlineLevel="1" x14ac:dyDescent="0.3">
      <c r="C26" t="s">
        <v>125</v>
      </c>
      <c r="F26" s="14" t="s">
        <v>134</v>
      </c>
      <c r="G26" s="24">
        <f>'CAC Inc Stmt'!G26+'AL Inc Stmt'!G26+'ESL Inc Stmt'!G26</f>
        <v>330</v>
      </c>
      <c r="H26" s="22">
        <f>'CAC Inc Stmt'!H26+'AL Inc Stmt'!H26+'ESL Inc Stmt'!H26</f>
        <v>-316</v>
      </c>
      <c r="I26" s="22">
        <f>'CAC Inc Stmt'!I26+'AL Inc Stmt'!I26+'ESL Inc Stmt'!I26</f>
        <v>169</v>
      </c>
      <c r="J26" s="22">
        <f>'CAC Inc Stmt'!J26+'AL Inc Stmt'!J26+'ESL Inc Stmt'!J26</f>
        <v>349</v>
      </c>
      <c r="K26" s="22">
        <f>'CAC Inc Stmt'!K26+'AL Inc Stmt'!K26+'ESL Inc Stmt'!K26</f>
        <v>489</v>
      </c>
      <c r="L26" s="42">
        <f>'CAC Inc Stmt'!L26+'AL Inc Stmt'!L26+'ESL Inc Stmt'!L26</f>
        <v>-316</v>
      </c>
      <c r="M26" s="22">
        <f>'CAC Inc Stmt'!M26+'AL Inc Stmt'!M26+'ESL Inc Stmt'!M26</f>
        <v>485</v>
      </c>
      <c r="N26" s="22">
        <f>'CAC Inc Stmt'!N26+'AL Inc Stmt'!N26+'ESL Inc Stmt'!N26</f>
        <v>180</v>
      </c>
      <c r="O26" s="22">
        <f>'CAC Inc Stmt'!O26+'AL Inc Stmt'!O26+'ESL Inc Stmt'!O26</f>
        <v>140</v>
      </c>
      <c r="P26" s="23">
        <f>'CAC Inc Stmt'!P26+'AL Inc Stmt'!P26+'ESL Inc Stmt'!P26</f>
        <v>489</v>
      </c>
      <c r="Q26" s="81">
        <f>'CAC Inc Stmt'!Q26+'AL Inc Stmt'!Q26+'ESL Inc Stmt'!Q26</f>
        <v>750</v>
      </c>
      <c r="R26" s="41">
        <f t="shared" si="6"/>
        <v>-261</v>
      </c>
      <c r="S26" s="272">
        <f t="shared" si="4"/>
        <v>0.65200000000000002</v>
      </c>
      <c r="T26" s="74">
        <f t="shared" si="7"/>
        <v>159</v>
      </c>
      <c r="U26" s="273">
        <f t="shared" si="5"/>
        <v>1.4818181818181819</v>
      </c>
    </row>
    <row r="27" spans="2:21" outlineLevel="1" x14ac:dyDescent="0.3">
      <c r="C27" t="s">
        <v>126</v>
      </c>
      <c r="F27" s="14" t="s">
        <v>7</v>
      </c>
      <c r="G27" s="24">
        <f>'CAC Inc Stmt'!G27+'AL Inc Stmt'!G27+'ESL Inc Stmt'!G27</f>
        <v>1142</v>
      </c>
      <c r="H27" s="22">
        <f>'CAC Inc Stmt'!H27+'AL Inc Stmt'!H27+'ESL Inc Stmt'!H27</f>
        <v>168.7</v>
      </c>
      <c r="I27" s="22">
        <f>'CAC Inc Stmt'!I27+'AL Inc Stmt'!I27+'ESL Inc Stmt'!I27</f>
        <v>145</v>
      </c>
      <c r="J27" s="22">
        <f>'CAC Inc Stmt'!J27+'AL Inc Stmt'!J27+'ESL Inc Stmt'!J27</f>
        <v>687</v>
      </c>
      <c r="K27" s="22">
        <f>'CAC Inc Stmt'!K27+'AL Inc Stmt'!K27+'ESL Inc Stmt'!K27</f>
        <v>737</v>
      </c>
      <c r="L27" s="42">
        <f>'CAC Inc Stmt'!L27+'AL Inc Stmt'!L27+'ESL Inc Stmt'!L27</f>
        <v>168.7</v>
      </c>
      <c r="M27" s="22">
        <f>'CAC Inc Stmt'!M27+'AL Inc Stmt'!M27+'ESL Inc Stmt'!M27</f>
        <v>-23.699999999999989</v>
      </c>
      <c r="N27" s="22">
        <f>'CAC Inc Stmt'!N27+'AL Inc Stmt'!N27+'ESL Inc Stmt'!N27</f>
        <v>542</v>
      </c>
      <c r="O27" s="22">
        <f>'CAC Inc Stmt'!O27+'AL Inc Stmt'!O27+'ESL Inc Stmt'!O27</f>
        <v>50</v>
      </c>
      <c r="P27" s="23">
        <f>'CAC Inc Stmt'!P27+'AL Inc Stmt'!P27+'ESL Inc Stmt'!P27</f>
        <v>737</v>
      </c>
      <c r="Q27" s="81">
        <f>'CAC Inc Stmt'!Q27+'AL Inc Stmt'!Q27+'ESL Inc Stmt'!Q27</f>
        <v>750</v>
      </c>
      <c r="R27" s="41">
        <f t="shared" si="6"/>
        <v>-13</v>
      </c>
      <c r="S27" s="272">
        <f t="shared" si="4"/>
        <v>0.98266666666666669</v>
      </c>
      <c r="T27" s="74">
        <f t="shared" si="7"/>
        <v>-405</v>
      </c>
      <c r="U27" s="273">
        <f t="shared" si="5"/>
        <v>0.64535901926444839</v>
      </c>
    </row>
    <row r="28" spans="2:21" outlineLevel="1" x14ac:dyDescent="0.3">
      <c r="C28" t="s">
        <v>0</v>
      </c>
      <c r="F28" s="14">
        <v>5490</v>
      </c>
      <c r="G28" s="24">
        <f>'CAC Inc Stmt'!G28+'AL Inc Stmt'!G28+'ESL Inc Stmt'!G28</f>
        <v>4</v>
      </c>
      <c r="H28" s="22">
        <f>'CAC Inc Stmt'!H28+'AL Inc Stmt'!H28+'ESL Inc Stmt'!H28</f>
        <v>2</v>
      </c>
      <c r="I28" s="22">
        <f>'CAC Inc Stmt'!I28+'AL Inc Stmt'!I28+'ESL Inc Stmt'!I28</f>
        <v>62</v>
      </c>
      <c r="J28" s="22">
        <f>'CAC Inc Stmt'!J28+'AL Inc Stmt'!J28+'ESL Inc Stmt'!J28</f>
        <v>62</v>
      </c>
      <c r="K28" s="22">
        <f>'CAC Inc Stmt'!K28+'AL Inc Stmt'!K28+'ESL Inc Stmt'!K28</f>
        <v>62</v>
      </c>
      <c r="L28" s="42">
        <f>'CAC Inc Stmt'!L28+'AL Inc Stmt'!L28+'ESL Inc Stmt'!L28</f>
        <v>2</v>
      </c>
      <c r="M28" s="22">
        <f>'CAC Inc Stmt'!M28+'AL Inc Stmt'!M28+'ESL Inc Stmt'!M28</f>
        <v>60</v>
      </c>
      <c r="N28" s="22">
        <f>'CAC Inc Stmt'!N28+'AL Inc Stmt'!N28+'ESL Inc Stmt'!N28</f>
        <v>0</v>
      </c>
      <c r="O28" s="22">
        <f>'CAC Inc Stmt'!O28+'AL Inc Stmt'!O28+'ESL Inc Stmt'!O28</f>
        <v>0</v>
      </c>
      <c r="P28" s="23">
        <f>'CAC Inc Stmt'!P28+'AL Inc Stmt'!P28+'ESL Inc Stmt'!P28</f>
        <v>62</v>
      </c>
      <c r="Q28" s="81">
        <f>'CAC Inc Stmt'!Q28+'AL Inc Stmt'!Q28+'ESL Inc Stmt'!Q28</f>
        <v>0</v>
      </c>
      <c r="R28" s="41">
        <f t="shared" si="6"/>
        <v>62</v>
      </c>
      <c r="S28" s="272" t="str">
        <f t="shared" si="4"/>
        <v/>
      </c>
      <c r="T28" s="74">
        <f t="shared" si="7"/>
        <v>58</v>
      </c>
      <c r="U28" s="273">
        <f t="shared" si="5"/>
        <v>15.5</v>
      </c>
    </row>
    <row r="29" spans="2:21" outlineLevel="1" x14ac:dyDescent="0.3">
      <c r="F29" s="14"/>
      <c r="G29" s="24">
        <f>'CAC Inc Stmt'!G29+'AL Inc Stmt'!G29+'ESL Inc Stmt'!G29</f>
        <v>0</v>
      </c>
      <c r="H29" s="22">
        <f>'CAC Inc Stmt'!H29+'AL Inc Stmt'!H29+'ESL Inc Stmt'!H29</f>
        <v>0</v>
      </c>
      <c r="I29" s="22">
        <f>'CAC Inc Stmt'!I29+'AL Inc Stmt'!I29+'ESL Inc Stmt'!I29</f>
        <v>0</v>
      </c>
      <c r="J29" s="22">
        <f>'CAC Inc Stmt'!J29+'AL Inc Stmt'!J29+'ESL Inc Stmt'!J29</f>
        <v>0</v>
      </c>
      <c r="K29" s="22">
        <f>'CAC Inc Stmt'!K29+'AL Inc Stmt'!K29+'ESL Inc Stmt'!K29</f>
        <v>0</v>
      </c>
      <c r="L29" s="42">
        <f>'CAC Inc Stmt'!L29+'AL Inc Stmt'!L29+'ESL Inc Stmt'!L29</f>
        <v>0</v>
      </c>
      <c r="M29" s="22">
        <f>'CAC Inc Stmt'!M29+'AL Inc Stmt'!M29+'ESL Inc Stmt'!M29</f>
        <v>0</v>
      </c>
      <c r="N29" s="22">
        <f>'CAC Inc Stmt'!N29+'AL Inc Stmt'!N29+'ESL Inc Stmt'!N29</f>
        <v>0</v>
      </c>
      <c r="O29" s="22">
        <f>'CAC Inc Stmt'!O29+'AL Inc Stmt'!O29+'ESL Inc Stmt'!O29</f>
        <v>0</v>
      </c>
      <c r="P29" s="23">
        <f>'CAC Inc Stmt'!P29+'AL Inc Stmt'!P29+'ESL Inc Stmt'!P29</f>
        <v>0</v>
      </c>
      <c r="Q29" s="81">
        <f>'CAC Inc Stmt'!Q29+'AL Inc Stmt'!Q29+'ESL Inc Stmt'!Q29</f>
        <v>0</v>
      </c>
      <c r="R29" s="41">
        <f t="shared" si="6"/>
        <v>0</v>
      </c>
      <c r="S29" s="272" t="str">
        <f t="shared" si="4"/>
        <v/>
      </c>
      <c r="T29" s="74">
        <f t="shared" si="7"/>
        <v>0</v>
      </c>
      <c r="U29" s="259"/>
    </row>
    <row r="30" spans="2:21" outlineLevel="1" x14ac:dyDescent="0.3">
      <c r="F30" s="14"/>
      <c r="G30" s="24">
        <f>'CAC Inc Stmt'!G30+'AL Inc Stmt'!G30+'ESL Inc Stmt'!G30</f>
        <v>0</v>
      </c>
      <c r="H30" s="22">
        <f>'CAC Inc Stmt'!H30+'AL Inc Stmt'!H30+'ESL Inc Stmt'!H30</f>
        <v>0</v>
      </c>
      <c r="I30" s="22">
        <f>'CAC Inc Stmt'!I30+'AL Inc Stmt'!I30+'ESL Inc Stmt'!I30</f>
        <v>0</v>
      </c>
      <c r="J30" s="22">
        <f>'CAC Inc Stmt'!J30+'AL Inc Stmt'!J30+'ESL Inc Stmt'!J30</f>
        <v>0</v>
      </c>
      <c r="K30" s="22">
        <f>'CAC Inc Stmt'!K30+'AL Inc Stmt'!K30+'ESL Inc Stmt'!K30</f>
        <v>0</v>
      </c>
      <c r="L30" s="42">
        <f>'CAC Inc Stmt'!L30+'AL Inc Stmt'!L30+'ESL Inc Stmt'!L30</f>
        <v>0</v>
      </c>
      <c r="M30" s="22">
        <f>'CAC Inc Stmt'!M30+'AL Inc Stmt'!M30+'ESL Inc Stmt'!M30</f>
        <v>0</v>
      </c>
      <c r="N30" s="22">
        <f>'CAC Inc Stmt'!N30+'AL Inc Stmt'!N30+'ESL Inc Stmt'!N30</f>
        <v>0</v>
      </c>
      <c r="O30" s="22">
        <f>'CAC Inc Stmt'!O30+'AL Inc Stmt'!O30+'ESL Inc Stmt'!O30</f>
        <v>0</v>
      </c>
      <c r="P30" s="23">
        <f>'CAC Inc Stmt'!P30+'AL Inc Stmt'!P30+'ESL Inc Stmt'!P30</f>
        <v>0</v>
      </c>
      <c r="Q30" s="81">
        <f>'CAC Inc Stmt'!Q30+'AL Inc Stmt'!Q30+'ESL Inc Stmt'!Q30</f>
        <v>0</v>
      </c>
      <c r="R30" s="41">
        <f t="shared" si="6"/>
        <v>0</v>
      </c>
      <c r="S30" s="272" t="str">
        <f t="shared" si="4"/>
        <v/>
      </c>
      <c r="T30" s="74">
        <f t="shared" si="7"/>
        <v>0</v>
      </c>
      <c r="U30" s="259"/>
    </row>
    <row r="31" spans="2:21" outlineLevel="1" x14ac:dyDescent="0.3">
      <c r="F31" s="14"/>
      <c r="G31" s="24">
        <f>'CAC Inc Stmt'!G31+'AL Inc Stmt'!G31+'ESL Inc Stmt'!G31</f>
        <v>0</v>
      </c>
      <c r="H31" s="22">
        <f>'CAC Inc Stmt'!H31+'AL Inc Stmt'!H31+'ESL Inc Stmt'!H31</f>
        <v>0</v>
      </c>
      <c r="I31" s="22">
        <f>'CAC Inc Stmt'!I31+'AL Inc Stmt'!I31+'ESL Inc Stmt'!I31</f>
        <v>0</v>
      </c>
      <c r="J31" s="22">
        <f>'CAC Inc Stmt'!J31+'AL Inc Stmt'!J31+'ESL Inc Stmt'!J31</f>
        <v>0</v>
      </c>
      <c r="K31" s="22">
        <f>'CAC Inc Stmt'!K31+'AL Inc Stmt'!K31+'ESL Inc Stmt'!K31</f>
        <v>0</v>
      </c>
      <c r="L31" s="42">
        <f>'CAC Inc Stmt'!L31+'AL Inc Stmt'!L31+'ESL Inc Stmt'!L31</f>
        <v>0</v>
      </c>
      <c r="M31" s="22">
        <f>'CAC Inc Stmt'!M31+'AL Inc Stmt'!M31+'ESL Inc Stmt'!M31</f>
        <v>0</v>
      </c>
      <c r="N31" s="22">
        <f>'CAC Inc Stmt'!N31+'AL Inc Stmt'!N31+'ESL Inc Stmt'!N31</f>
        <v>0</v>
      </c>
      <c r="O31" s="22">
        <f>'CAC Inc Stmt'!O31+'AL Inc Stmt'!O31+'ESL Inc Stmt'!O31</f>
        <v>0</v>
      </c>
      <c r="P31" s="23">
        <f>'CAC Inc Stmt'!P31+'AL Inc Stmt'!P31+'ESL Inc Stmt'!P31</f>
        <v>0</v>
      </c>
      <c r="Q31" s="81">
        <f>'CAC Inc Stmt'!Q31+'AL Inc Stmt'!Q31+'ESL Inc Stmt'!Q31</f>
        <v>0</v>
      </c>
      <c r="R31" s="41">
        <f t="shared" si="6"/>
        <v>0</v>
      </c>
      <c r="S31" s="272" t="str">
        <f t="shared" si="4"/>
        <v/>
      </c>
      <c r="T31" s="74">
        <f t="shared" si="7"/>
        <v>0</v>
      </c>
      <c r="U31" s="259"/>
    </row>
    <row r="32" spans="2:21" outlineLevel="1" x14ac:dyDescent="0.3">
      <c r="F32" s="14"/>
      <c r="G32" s="24"/>
      <c r="H32" s="22"/>
      <c r="I32" s="22"/>
      <c r="J32" s="22"/>
      <c r="K32" s="22"/>
      <c r="L32" s="42"/>
      <c r="M32" s="22"/>
      <c r="N32" s="22"/>
      <c r="O32" s="22"/>
      <c r="P32" s="23"/>
      <c r="Q32" s="81"/>
      <c r="R32" s="41"/>
      <c r="S32" s="257"/>
      <c r="T32" s="74"/>
      <c r="U32" s="259"/>
    </row>
    <row r="33" spans="1:21" outlineLevel="1" x14ac:dyDescent="0.3">
      <c r="F33" s="14"/>
      <c r="G33" s="24"/>
      <c r="H33" s="22"/>
      <c r="I33" s="22"/>
      <c r="J33" s="22"/>
      <c r="K33" s="22"/>
      <c r="L33" s="42"/>
      <c r="M33" s="22"/>
      <c r="N33" s="22"/>
      <c r="O33" s="22"/>
      <c r="P33" s="23"/>
      <c r="Q33" s="81"/>
      <c r="R33" s="41"/>
      <c r="S33" s="257"/>
      <c r="T33" s="74"/>
      <c r="U33" s="259"/>
    </row>
    <row r="34" spans="1:21" x14ac:dyDescent="0.3">
      <c r="B34" s="1" t="s">
        <v>5</v>
      </c>
      <c r="F34" s="14"/>
      <c r="G34" s="44">
        <f>'CAC Inc Stmt'!G34+'AL Inc Stmt'!G34+'ESL Inc Stmt'!G34</f>
        <v>58325.08</v>
      </c>
      <c r="H34" s="45">
        <f>'CAC Inc Stmt'!H34+'AL Inc Stmt'!H34+'ESL Inc Stmt'!H34</f>
        <v>28210</v>
      </c>
      <c r="I34" s="45">
        <f>'CAC Inc Stmt'!I34+'AL Inc Stmt'!I34+'ESL Inc Stmt'!I34</f>
        <v>29680</v>
      </c>
      <c r="J34" s="45">
        <f>'CAC Inc Stmt'!J34+'AL Inc Stmt'!J34+'ESL Inc Stmt'!J34</f>
        <v>31520</v>
      </c>
      <c r="K34" s="45">
        <f>'CAC Inc Stmt'!K34+'AL Inc Stmt'!K34+'ESL Inc Stmt'!K34</f>
        <v>50147</v>
      </c>
      <c r="L34" s="46">
        <f>'CAC Inc Stmt'!L34+'AL Inc Stmt'!L34+'ESL Inc Stmt'!L34</f>
        <v>28210</v>
      </c>
      <c r="M34" s="45">
        <f>'CAC Inc Stmt'!M34+'AL Inc Stmt'!M34+'ESL Inc Stmt'!M34</f>
        <v>1470</v>
      </c>
      <c r="N34" s="45">
        <f>'CAC Inc Stmt'!N34+'AL Inc Stmt'!N34+'ESL Inc Stmt'!N34</f>
        <v>1840</v>
      </c>
      <c r="O34" s="45">
        <f>'CAC Inc Stmt'!O34+'AL Inc Stmt'!O34+'ESL Inc Stmt'!O34</f>
        <v>18627</v>
      </c>
      <c r="P34" s="68">
        <f>'CAC Inc Stmt'!P34+'AL Inc Stmt'!P34+'ESL Inc Stmt'!P34</f>
        <v>50147</v>
      </c>
      <c r="Q34" s="82">
        <f>'CAC Inc Stmt'!Q34+'AL Inc Stmt'!Q34+'ESL Inc Stmt'!Q34</f>
        <v>57799.92</v>
      </c>
      <c r="R34" s="47">
        <f>SUM(R35:R43)</f>
        <v>-7652.92</v>
      </c>
      <c r="S34" s="276">
        <f t="shared" ref="S34:S43" si="8">IF(Q34=0,"",P34/Q34)</f>
        <v>0.86759635653474954</v>
      </c>
      <c r="T34" s="75">
        <f>SUM(T35:T43)</f>
        <v>-8178.08</v>
      </c>
      <c r="U34" s="277">
        <f t="shared" ref="U34:U43" si="9">IF(G34=0,"",P34/G34)</f>
        <v>0.85978450436758935</v>
      </c>
    </row>
    <row r="35" spans="1:21" outlineLevel="1" x14ac:dyDescent="0.3">
      <c r="C35" t="s">
        <v>127</v>
      </c>
      <c r="F35" s="14"/>
      <c r="G35" s="24">
        <f>'CAC Inc Stmt'!G35+'AL Inc Stmt'!G35+'ESL Inc Stmt'!G35</f>
        <v>730</v>
      </c>
      <c r="H35" s="22">
        <f>'CAC Inc Stmt'!H35+'AL Inc Stmt'!H35+'ESL Inc Stmt'!H35</f>
        <v>160</v>
      </c>
      <c r="I35" s="22">
        <f>'CAC Inc Stmt'!I35+'AL Inc Stmt'!I35+'ESL Inc Stmt'!I35</f>
        <v>440</v>
      </c>
      <c r="J35" s="22">
        <f>'CAC Inc Stmt'!J35+'AL Inc Stmt'!J35+'ESL Inc Stmt'!J35</f>
        <v>670</v>
      </c>
      <c r="K35" s="22">
        <f>'CAC Inc Stmt'!K35+'AL Inc Stmt'!K35+'ESL Inc Stmt'!K35</f>
        <v>1150</v>
      </c>
      <c r="L35" s="42">
        <f>'CAC Inc Stmt'!L35+'AL Inc Stmt'!L35+'ESL Inc Stmt'!L35</f>
        <v>160</v>
      </c>
      <c r="M35" s="22">
        <f>'CAC Inc Stmt'!M35+'AL Inc Stmt'!M35+'ESL Inc Stmt'!M35</f>
        <v>280</v>
      </c>
      <c r="N35" s="22">
        <f>'CAC Inc Stmt'!N35+'AL Inc Stmt'!N35+'ESL Inc Stmt'!N35</f>
        <v>230</v>
      </c>
      <c r="O35" s="22">
        <f>'CAC Inc Stmt'!O35+'AL Inc Stmt'!O35+'ESL Inc Stmt'!O35</f>
        <v>480</v>
      </c>
      <c r="P35" s="23">
        <f>'CAC Inc Stmt'!P35+'AL Inc Stmt'!P35+'ESL Inc Stmt'!P35</f>
        <v>1150</v>
      </c>
      <c r="Q35" s="81">
        <f>'CAC Inc Stmt'!Q35+'AL Inc Stmt'!Q35+'ESL Inc Stmt'!Q35</f>
        <v>700</v>
      </c>
      <c r="R35" s="41">
        <f t="shared" ref="R35:R43" si="10">P35-Q35</f>
        <v>450</v>
      </c>
      <c r="S35" s="278">
        <f t="shared" si="8"/>
        <v>1.6428571428571428</v>
      </c>
      <c r="T35" s="74">
        <f t="shared" ref="T35:T43" si="11">P35-G35</f>
        <v>420</v>
      </c>
      <c r="U35" s="275">
        <f t="shared" si="9"/>
        <v>1.5753424657534247</v>
      </c>
    </row>
    <row r="36" spans="1:21" outlineLevel="1" x14ac:dyDescent="0.3">
      <c r="C36" t="s">
        <v>195</v>
      </c>
      <c r="F36" s="14"/>
      <c r="G36" s="24">
        <f>'CAC Inc Stmt'!G36+'AL Inc Stmt'!G36+'ESL Inc Stmt'!G36</f>
        <v>50645</v>
      </c>
      <c r="H36" s="22">
        <f>'CAC Inc Stmt'!H36+'AL Inc Stmt'!H36+'ESL Inc Stmt'!H36</f>
        <v>17465</v>
      </c>
      <c r="I36" s="22">
        <f>'CAC Inc Stmt'!I36+'AL Inc Stmt'!I36+'ESL Inc Stmt'!I36</f>
        <v>18655</v>
      </c>
      <c r="J36" s="22">
        <f>'CAC Inc Stmt'!J36+'AL Inc Stmt'!J36+'ESL Inc Stmt'!J36</f>
        <v>19580</v>
      </c>
      <c r="K36" s="22">
        <f>'CAC Inc Stmt'!K36+'AL Inc Stmt'!K36+'ESL Inc Stmt'!K36</f>
        <v>37090</v>
      </c>
      <c r="L36" s="42">
        <f>'CAC Inc Stmt'!L36+'AL Inc Stmt'!L36+'ESL Inc Stmt'!L36</f>
        <v>17465</v>
      </c>
      <c r="M36" s="22">
        <f>'CAC Inc Stmt'!M36+'AL Inc Stmt'!M36+'ESL Inc Stmt'!M36</f>
        <v>1190</v>
      </c>
      <c r="N36" s="22">
        <f>'CAC Inc Stmt'!N36+'AL Inc Stmt'!N36+'ESL Inc Stmt'!N36</f>
        <v>925</v>
      </c>
      <c r="O36" s="22">
        <f>'CAC Inc Stmt'!O36+'AL Inc Stmt'!O36+'ESL Inc Stmt'!O36</f>
        <v>17510</v>
      </c>
      <c r="P36" s="23">
        <f>'CAC Inc Stmt'!P36+'AL Inc Stmt'!P36+'ESL Inc Stmt'!P36</f>
        <v>37090</v>
      </c>
      <c r="Q36" s="81">
        <f>'CAC Inc Stmt'!Q36+'AL Inc Stmt'!Q36+'ESL Inc Stmt'!Q36</f>
        <v>45000</v>
      </c>
      <c r="R36" s="41">
        <f t="shared" si="10"/>
        <v>-7910</v>
      </c>
      <c r="S36" s="278">
        <f t="shared" si="8"/>
        <v>0.82422222222222219</v>
      </c>
      <c r="T36" s="74">
        <f t="shared" si="11"/>
        <v>-13555</v>
      </c>
      <c r="U36" s="275">
        <f t="shared" si="9"/>
        <v>0.73235265080462042</v>
      </c>
    </row>
    <row r="37" spans="1:21" outlineLevel="1" x14ac:dyDescent="0.3">
      <c r="C37" t="s">
        <v>270</v>
      </c>
      <c r="F37" s="14" t="s">
        <v>137</v>
      </c>
      <c r="G37" s="24">
        <f>'CAC Inc Stmt'!G37+'AL Inc Stmt'!G37+'ESL Inc Stmt'!G37</f>
        <v>0</v>
      </c>
      <c r="H37" s="22">
        <f>'CAC Inc Stmt'!H37+'AL Inc Stmt'!H37+'ESL Inc Stmt'!H37</f>
        <v>0</v>
      </c>
      <c r="I37" s="22">
        <f>'CAC Inc Stmt'!I37+'AL Inc Stmt'!I37+'ESL Inc Stmt'!I37</f>
        <v>0</v>
      </c>
      <c r="J37" s="22">
        <f>'CAC Inc Stmt'!J37+'AL Inc Stmt'!J37+'ESL Inc Stmt'!J37</f>
        <v>0</v>
      </c>
      <c r="K37" s="22">
        <f>'CAC Inc Stmt'!K37+'AL Inc Stmt'!K37+'ESL Inc Stmt'!K37</f>
        <v>0</v>
      </c>
      <c r="L37" s="42">
        <f>'CAC Inc Stmt'!L37+'AL Inc Stmt'!L37+'ESL Inc Stmt'!L37</f>
        <v>0</v>
      </c>
      <c r="M37" s="22">
        <f>'CAC Inc Stmt'!M37+'AL Inc Stmt'!M37+'ESL Inc Stmt'!M37</f>
        <v>0</v>
      </c>
      <c r="N37" s="22">
        <f>'CAC Inc Stmt'!N37+'AL Inc Stmt'!N37+'ESL Inc Stmt'!N37</f>
        <v>0</v>
      </c>
      <c r="O37" s="22">
        <f>'CAC Inc Stmt'!O37+'AL Inc Stmt'!O37+'ESL Inc Stmt'!O37</f>
        <v>0</v>
      </c>
      <c r="P37" s="23">
        <f>'CAC Inc Stmt'!P37+'AL Inc Stmt'!P37+'ESL Inc Stmt'!P37</f>
        <v>0</v>
      </c>
      <c r="Q37" s="81">
        <f>'CAC Inc Stmt'!Q37+'AL Inc Stmt'!Q37+'ESL Inc Stmt'!Q37</f>
        <v>0</v>
      </c>
      <c r="R37" s="41">
        <f>P37-Q37</f>
        <v>0</v>
      </c>
      <c r="S37" s="278" t="str">
        <f t="shared" si="8"/>
        <v/>
      </c>
      <c r="T37" s="74">
        <f t="shared" si="11"/>
        <v>0</v>
      </c>
      <c r="U37" s="275" t="str">
        <f t="shared" si="9"/>
        <v/>
      </c>
    </row>
    <row r="38" spans="1:21" outlineLevel="1" x14ac:dyDescent="0.3">
      <c r="C38" t="s">
        <v>196</v>
      </c>
      <c r="F38" s="14" t="s">
        <v>204</v>
      </c>
      <c r="G38" s="24">
        <f>'CAC Inc Stmt'!G38+'AL Inc Stmt'!G38+'ESL Inc Stmt'!G38</f>
        <v>6790</v>
      </c>
      <c r="H38" s="22">
        <f>'CAC Inc Stmt'!H38+'AL Inc Stmt'!H38+'ESL Inc Stmt'!H38</f>
        <v>10585</v>
      </c>
      <c r="I38" s="22">
        <f>'CAC Inc Stmt'!I38+'AL Inc Stmt'!I38+'ESL Inc Stmt'!I38</f>
        <v>10585</v>
      </c>
      <c r="J38" s="22">
        <f>'CAC Inc Stmt'!J38+'AL Inc Stmt'!J38+'ESL Inc Stmt'!J38</f>
        <v>10590</v>
      </c>
      <c r="K38" s="22">
        <f>'CAC Inc Stmt'!K38+'AL Inc Stmt'!K38+'ESL Inc Stmt'!K38</f>
        <v>10925</v>
      </c>
      <c r="L38" s="42">
        <f>'CAC Inc Stmt'!L38+'AL Inc Stmt'!L38+'ESL Inc Stmt'!L38</f>
        <v>10585</v>
      </c>
      <c r="M38" s="22">
        <f>'CAC Inc Stmt'!M38+'AL Inc Stmt'!M38+'ESL Inc Stmt'!M38</f>
        <v>0</v>
      </c>
      <c r="N38" s="22">
        <f>'CAC Inc Stmt'!N38+'AL Inc Stmt'!N38+'ESL Inc Stmt'!N38</f>
        <v>5</v>
      </c>
      <c r="O38" s="22">
        <f>'CAC Inc Stmt'!O38+'AL Inc Stmt'!O38+'ESL Inc Stmt'!O38</f>
        <v>335</v>
      </c>
      <c r="P38" s="23">
        <f>'CAC Inc Stmt'!P38+'AL Inc Stmt'!P38+'ESL Inc Stmt'!P38</f>
        <v>10925</v>
      </c>
      <c r="Q38" s="81">
        <f>'CAC Inc Stmt'!Q38+'AL Inc Stmt'!Q38+'ESL Inc Stmt'!Q38</f>
        <v>12000</v>
      </c>
      <c r="R38" s="41">
        <f t="shared" si="10"/>
        <v>-1075</v>
      </c>
      <c r="S38" s="278">
        <f t="shared" si="8"/>
        <v>0.91041666666666665</v>
      </c>
      <c r="T38" s="74">
        <f t="shared" si="11"/>
        <v>4135</v>
      </c>
      <c r="U38" s="275">
        <f t="shared" si="9"/>
        <v>1.6089837997054492</v>
      </c>
    </row>
    <row r="39" spans="1:21" outlineLevel="1" x14ac:dyDescent="0.3">
      <c r="C39" t="s">
        <v>352</v>
      </c>
      <c r="F39" s="14"/>
      <c r="G39" s="24">
        <f>'CAC Inc Stmt'!G39+'AL Inc Stmt'!G39+'ESL Inc Stmt'!G39</f>
        <v>0</v>
      </c>
      <c r="H39" s="22">
        <f>'CAC Inc Stmt'!H39+'AL Inc Stmt'!H39+'ESL Inc Stmt'!H39</f>
        <v>0</v>
      </c>
      <c r="I39" s="22">
        <f>'CAC Inc Stmt'!I39+'AL Inc Stmt'!I39+'ESL Inc Stmt'!I39</f>
        <v>0</v>
      </c>
      <c r="J39" s="22">
        <f>'CAC Inc Stmt'!J39+'AL Inc Stmt'!J39+'ESL Inc Stmt'!J39</f>
        <v>0</v>
      </c>
      <c r="K39" s="22">
        <f>'CAC Inc Stmt'!K39+'AL Inc Stmt'!K39+'ESL Inc Stmt'!K39</f>
        <v>0</v>
      </c>
      <c r="L39" s="42">
        <f>'CAC Inc Stmt'!L39+'AL Inc Stmt'!L39+'ESL Inc Stmt'!L39</f>
        <v>0</v>
      </c>
      <c r="M39" s="22">
        <f>'CAC Inc Stmt'!M39+'AL Inc Stmt'!M39+'ESL Inc Stmt'!M39</f>
        <v>0</v>
      </c>
      <c r="N39" s="22">
        <f>'CAC Inc Stmt'!N39+'AL Inc Stmt'!N39+'ESL Inc Stmt'!N39</f>
        <v>0</v>
      </c>
      <c r="O39" s="22">
        <f>'CAC Inc Stmt'!O39+'AL Inc Stmt'!O39+'ESL Inc Stmt'!O39</f>
        <v>0</v>
      </c>
      <c r="P39" s="23">
        <f>'CAC Inc Stmt'!P39+'AL Inc Stmt'!P39+'ESL Inc Stmt'!P39</f>
        <v>0</v>
      </c>
      <c r="Q39" s="81">
        <f>'CAC Inc Stmt'!Q39+'AL Inc Stmt'!Q39+'ESL Inc Stmt'!Q39</f>
        <v>0</v>
      </c>
      <c r="R39" s="41">
        <f t="shared" si="10"/>
        <v>0</v>
      </c>
      <c r="S39" s="278" t="str">
        <f t="shared" si="8"/>
        <v/>
      </c>
      <c r="T39" s="74">
        <f t="shared" si="11"/>
        <v>0</v>
      </c>
      <c r="U39" s="275" t="str">
        <f t="shared" si="9"/>
        <v/>
      </c>
    </row>
    <row r="40" spans="1:21" outlineLevel="1" x14ac:dyDescent="0.3">
      <c r="C40" t="s">
        <v>0</v>
      </c>
      <c r="F40" s="14">
        <v>5490</v>
      </c>
      <c r="G40" s="24">
        <f>'CAC Inc Stmt'!G40+'AL Inc Stmt'!G40+'ESL Inc Stmt'!G40</f>
        <v>160.08000000000001</v>
      </c>
      <c r="H40" s="22">
        <f>'CAC Inc Stmt'!H86+'AL Inc Stmt'!H40+'ESL Inc Stmt'!H40</f>
        <v>0</v>
      </c>
      <c r="I40" s="22">
        <f>'CAC Inc Stmt'!I40+'AL Inc Stmt'!I40+'ESL Inc Stmt'!I40</f>
        <v>0</v>
      </c>
      <c r="J40" s="22">
        <f>'CAC Inc Stmt'!J40+'AL Inc Stmt'!J40+'ESL Inc Stmt'!J40</f>
        <v>680</v>
      </c>
      <c r="K40" s="22">
        <f>'CAC Inc Stmt'!K40+'AL Inc Stmt'!K40+'ESL Inc Stmt'!K40</f>
        <v>982</v>
      </c>
      <c r="L40" s="42">
        <f>'CAC Inc Stmt'!L40+'AL Inc Stmt'!L40+'ESL Inc Stmt'!L40</f>
        <v>0</v>
      </c>
      <c r="M40" s="22">
        <f>'CAC Inc Stmt'!M40+'AL Inc Stmt'!M40+'ESL Inc Stmt'!M40</f>
        <v>0</v>
      </c>
      <c r="N40" s="22">
        <f>'CAC Inc Stmt'!N40+'AL Inc Stmt'!N40+'ESL Inc Stmt'!N40</f>
        <v>680</v>
      </c>
      <c r="O40" s="22">
        <f>'CAC Inc Stmt'!O40+'AL Inc Stmt'!O40+'ESL Inc Stmt'!O40</f>
        <v>302</v>
      </c>
      <c r="P40" s="23">
        <f>'CAC Inc Stmt'!P40+'AL Inc Stmt'!P40+'ESL Inc Stmt'!P40</f>
        <v>982</v>
      </c>
      <c r="Q40" s="81">
        <f>'CAC Inc Stmt'!Q40+'AL Inc Stmt'!Q40+'ESL Inc Stmt'!Q40</f>
        <v>99.92</v>
      </c>
      <c r="R40" s="41">
        <f t="shared" si="10"/>
        <v>882.08</v>
      </c>
      <c r="S40" s="278">
        <f t="shared" si="8"/>
        <v>9.8278622898318648</v>
      </c>
      <c r="T40" s="74">
        <f t="shared" si="11"/>
        <v>821.92</v>
      </c>
      <c r="U40" s="275">
        <f t="shared" si="9"/>
        <v>6.1344327836081955</v>
      </c>
    </row>
    <row r="41" spans="1:21" outlineLevel="1" x14ac:dyDescent="0.3">
      <c r="F41" s="14"/>
      <c r="G41" s="24">
        <f>'CAC Inc Stmt'!G41+'AL Inc Stmt'!G41+'ESL Inc Stmt'!G41</f>
        <v>0</v>
      </c>
      <c r="H41" s="22">
        <f>'CAC Inc Stmt'!H41+'AL Inc Stmt'!H41+'ESL Inc Stmt'!H41</f>
        <v>0</v>
      </c>
      <c r="I41" s="22">
        <f>'CAC Inc Stmt'!I41+'AL Inc Stmt'!I41+'ESL Inc Stmt'!I41</f>
        <v>0</v>
      </c>
      <c r="J41" s="22">
        <f>'CAC Inc Stmt'!J41+'AL Inc Stmt'!J41+'ESL Inc Stmt'!J41</f>
        <v>0</v>
      </c>
      <c r="K41" s="22">
        <f>'CAC Inc Stmt'!K41+'AL Inc Stmt'!K41+'ESL Inc Stmt'!K41</f>
        <v>0</v>
      </c>
      <c r="L41" s="42">
        <f>'CAC Inc Stmt'!L41+'AL Inc Stmt'!L41+'ESL Inc Stmt'!L41</f>
        <v>0</v>
      </c>
      <c r="M41" s="22">
        <f>'CAC Inc Stmt'!M41+'AL Inc Stmt'!M41+'ESL Inc Stmt'!M41</f>
        <v>0</v>
      </c>
      <c r="N41" s="22">
        <f>'CAC Inc Stmt'!N41+'AL Inc Stmt'!N41+'ESL Inc Stmt'!N41</f>
        <v>0</v>
      </c>
      <c r="O41" s="22">
        <f>'CAC Inc Stmt'!O41+'AL Inc Stmt'!O41+'ESL Inc Stmt'!O41</f>
        <v>0</v>
      </c>
      <c r="P41" s="23">
        <f>'CAC Inc Stmt'!P41+'AL Inc Stmt'!P41+'ESL Inc Stmt'!P41</f>
        <v>0</v>
      </c>
      <c r="Q41" s="81">
        <f>'CAC Inc Stmt'!Q41+'AL Inc Stmt'!Q41+'ESL Inc Stmt'!Q41</f>
        <v>0</v>
      </c>
      <c r="R41" s="41">
        <f t="shared" si="10"/>
        <v>0</v>
      </c>
      <c r="S41" s="278" t="str">
        <f t="shared" si="8"/>
        <v/>
      </c>
      <c r="T41" s="74">
        <f t="shared" si="11"/>
        <v>0</v>
      </c>
      <c r="U41" s="275" t="str">
        <f t="shared" si="9"/>
        <v/>
      </c>
    </row>
    <row r="42" spans="1:21" outlineLevel="1" x14ac:dyDescent="0.3">
      <c r="F42" s="14"/>
      <c r="G42" s="24">
        <f>'CAC Inc Stmt'!G42+'AL Inc Stmt'!G42+'ESL Inc Stmt'!G42</f>
        <v>0</v>
      </c>
      <c r="H42" s="22">
        <f>'CAC Inc Stmt'!H42+'AL Inc Stmt'!H42+'ESL Inc Stmt'!H42</f>
        <v>0</v>
      </c>
      <c r="I42" s="22">
        <f>'CAC Inc Stmt'!I42+'AL Inc Stmt'!I42+'ESL Inc Stmt'!I42</f>
        <v>0</v>
      </c>
      <c r="J42" s="22">
        <f>'CAC Inc Stmt'!J42+'AL Inc Stmt'!J42+'ESL Inc Stmt'!J42</f>
        <v>0</v>
      </c>
      <c r="K42" s="22">
        <f>'CAC Inc Stmt'!K42+'AL Inc Stmt'!K42+'ESL Inc Stmt'!K42</f>
        <v>0</v>
      </c>
      <c r="L42" s="42">
        <f>'CAC Inc Stmt'!L42+'AL Inc Stmt'!L42+'ESL Inc Stmt'!L42</f>
        <v>0</v>
      </c>
      <c r="M42" s="22">
        <f>'CAC Inc Stmt'!M42+'AL Inc Stmt'!M42+'ESL Inc Stmt'!M42</f>
        <v>0</v>
      </c>
      <c r="N42" s="22">
        <f>'CAC Inc Stmt'!N42+'AL Inc Stmt'!N42+'ESL Inc Stmt'!N42</f>
        <v>0</v>
      </c>
      <c r="O42" s="22">
        <f>'CAC Inc Stmt'!O42+'AL Inc Stmt'!O42+'ESL Inc Stmt'!O42</f>
        <v>0</v>
      </c>
      <c r="P42" s="23">
        <f>'CAC Inc Stmt'!P42+'AL Inc Stmt'!P42+'ESL Inc Stmt'!P42</f>
        <v>0</v>
      </c>
      <c r="Q42" s="81">
        <f>'CAC Inc Stmt'!Q42+'AL Inc Stmt'!Q42+'ESL Inc Stmt'!Q42</f>
        <v>0</v>
      </c>
      <c r="R42" s="41">
        <f t="shared" si="10"/>
        <v>0</v>
      </c>
      <c r="S42" s="278" t="str">
        <f t="shared" si="8"/>
        <v/>
      </c>
      <c r="T42" s="74">
        <f t="shared" si="11"/>
        <v>0</v>
      </c>
      <c r="U42" s="275" t="str">
        <f t="shared" si="9"/>
        <v/>
      </c>
    </row>
    <row r="43" spans="1:21" outlineLevel="1" x14ac:dyDescent="0.3">
      <c r="F43" s="14"/>
      <c r="G43" s="24">
        <f>'CAC Inc Stmt'!G43+'AL Inc Stmt'!G43+'ESL Inc Stmt'!G43</f>
        <v>0</v>
      </c>
      <c r="H43" s="22">
        <f>'CAC Inc Stmt'!H43+'AL Inc Stmt'!H43+'ESL Inc Stmt'!H43</f>
        <v>0</v>
      </c>
      <c r="I43" s="22">
        <f>'CAC Inc Stmt'!I43+'AL Inc Stmt'!I43+'ESL Inc Stmt'!I43</f>
        <v>0</v>
      </c>
      <c r="J43" s="22">
        <f>'CAC Inc Stmt'!J43+'AL Inc Stmt'!J43+'ESL Inc Stmt'!J43</f>
        <v>0</v>
      </c>
      <c r="K43" s="22">
        <f>'CAC Inc Stmt'!K43+'AL Inc Stmt'!K43+'ESL Inc Stmt'!K43</f>
        <v>0</v>
      </c>
      <c r="L43" s="42">
        <f>'CAC Inc Stmt'!L43+'AL Inc Stmt'!L43+'ESL Inc Stmt'!L43</f>
        <v>0</v>
      </c>
      <c r="M43" s="22">
        <f>'CAC Inc Stmt'!M43+'AL Inc Stmt'!M43+'ESL Inc Stmt'!M43</f>
        <v>0</v>
      </c>
      <c r="N43" s="22">
        <f>'CAC Inc Stmt'!N43+'AL Inc Stmt'!N43+'ESL Inc Stmt'!N43</f>
        <v>0</v>
      </c>
      <c r="O43" s="22">
        <f>'CAC Inc Stmt'!O43+'AL Inc Stmt'!O43+'ESL Inc Stmt'!O43</f>
        <v>0</v>
      </c>
      <c r="P43" s="23">
        <f>'CAC Inc Stmt'!P43+'AL Inc Stmt'!P43+'ESL Inc Stmt'!P43</f>
        <v>0</v>
      </c>
      <c r="Q43" s="81">
        <f>'CAC Inc Stmt'!Q43+'AL Inc Stmt'!Q43+'ESL Inc Stmt'!Q43</f>
        <v>0</v>
      </c>
      <c r="R43" s="41">
        <f t="shared" si="10"/>
        <v>0</v>
      </c>
      <c r="S43" s="278" t="str">
        <f t="shared" si="8"/>
        <v/>
      </c>
      <c r="T43" s="74">
        <f t="shared" si="11"/>
        <v>0</v>
      </c>
      <c r="U43" s="275" t="str">
        <f t="shared" si="9"/>
        <v/>
      </c>
    </row>
    <row r="44" spans="1:21" outlineLevel="1" x14ac:dyDescent="0.3">
      <c r="F44" s="14"/>
      <c r="G44" s="24"/>
      <c r="H44" s="22"/>
      <c r="I44" s="22"/>
      <c r="J44" s="22"/>
      <c r="K44" s="22"/>
      <c r="L44" s="42"/>
      <c r="M44" s="22"/>
      <c r="N44" s="22"/>
      <c r="O44" s="22"/>
      <c r="P44" s="23"/>
      <c r="Q44" s="81"/>
      <c r="R44" s="41"/>
      <c r="S44" s="257"/>
      <c r="T44" s="74"/>
      <c r="U44" s="259"/>
    </row>
    <row r="45" spans="1:21" x14ac:dyDescent="0.3">
      <c r="A45" s="1" t="s">
        <v>105</v>
      </c>
      <c r="F45" s="14"/>
      <c r="G45" s="52">
        <f>'CAC Inc Stmt'!G45+'AL Inc Stmt'!G45+'ESL Inc Stmt'!G45</f>
        <v>180635.08000000002</v>
      </c>
      <c r="H45" s="53">
        <f>'CAC Inc Stmt'!H45+'AL Inc Stmt'!H45+'ESL Inc Stmt'!H45</f>
        <v>43053.59</v>
      </c>
      <c r="I45" s="53">
        <f>'CAC Inc Stmt'!I45+'AL Inc Stmt'!I45+'ESL Inc Stmt'!I45</f>
        <v>85497.95</v>
      </c>
      <c r="J45" s="53">
        <f>'CAC Inc Stmt'!J45+'AL Inc Stmt'!J45+'ESL Inc Stmt'!J45</f>
        <v>115660.91</v>
      </c>
      <c r="K45" s="53">
        <f>'CAC Inc Stmt'!K45+'AL Inc Stmt'!K45+'ESL Inc Stmt'!K45</f>
        <v>163750.78</v>
      </c>
      <c r="L45" s="54">
        <f>'CAC Inc Stmt'!L45+'AL Inc Stmt'!L45+'ESL Inc Stmt'!L45</f>
        <v>43053.59</v>
      </c>
      <c r="M45" s="53">
        <f>'CAC Inc Stmt'!M45+'AL Inc Stmt'!M45+'ESL Inc Stmt'!M45</f>
        <v>42444.36</v>
      </c>
      <c r="N45" s="53">
        <f>'CAC Inc Stmt'!N45+'AL Inc Stmt'!N45+'ESL Inc Stmt'!N45</f>
        <v>30162.959999999999</v>
      </c>
      <c r="O45" s="53">
        <f>'CAC Inc Stmt'!O45+'AL Inc Stmt'!O45+'ESL Inc Stmt'!O45</f>
        <v>48089.869999999995</v>
      </c>
      <c r="P45" s="69">
        <f>'CAC Inc Stmt'!P45+'AL Inc Stmt'!P45+'ESL Inc Stmt'!P45</f>
        <v>163750.78</v>
      </c>
      <c r="Q45" s="83">
        <f>'CAC Inc Stmt'!Q45+'AL Inc Stmt'!Q45+'ESL Inc Stmt'!Q45</f>
        <v>180300.02</v>
      </c>
      <c r="R45" s="55">
        <f>R8+R20+R34</f>
        <v>-16549.239999999998</v>
      </c>
      <c r="S45" s="286">
        <f>IF(Q45=0,"",P45/Q45)</f>
        <v>0.90821276669852846</v>
      </c>
      <c r="T45" s="76">
        <f>T8+T20+T34</f>
        <v>-16884.300000000003</v>
      </c>
      <c r="U45" s="288">
        <f>IF(G45=0,"",P45/G45)</f>
        <v>0.90652812288731499</v>
      </c>
    </row>
    <row r="46" spans="1:21" x14ac:dyDescent="0.3">
      <c r="F46" s="14"/>
      <c r="G46" s="24"/>
      <c r="H46" s="22"/>
      <c r="I46" s="22"/>
      <c r="J46" s="22"/>
      <c r="K46" s="22"/>
      <c r="L46" s="42"/>
      <c r="M46" s="22"/>
      <c r="N46" s="22"/>
      <c r="O46" s="22"/>
      <c r="P46" s="23"/>
      <c r="Q46" s="81"/>
      <c r="R46" s="41"/>
      <c r="S46" s="257"/>
      <c r="T46" s="74"/>
      <c r="U46" s="259"/>
    </row>
    <row r="47" spans="1:21" x14ac:dyDescent="0.3">
      <c r="A47" s="1" t="s">
        <v>199</v>
      </c>
      <c r="F47" s="14"/>
      <c r="G47" s="24"/>
      <c r="H47" s="22"/>
      <c r="I47" s="22"/>
      <c r="J47" s="22"/>
      <c r="K47" s="22"/>
      <c r="L47" s="42"/>
      <c r="M47" s="22"/>
      <c r="N47" s="22"/>
      <c r="O47" s="22"/>
      <c r="P47" s="23"/>
      <c r="Q47" s="81"/>
      <c r="R47" s="41"/>
      <c r="S47" s="257"/>
      <c r="T47" s="74"/>
      <c r="U47" s="259"/>
    </row>
    <row r="48" spans="1:21" outlineLevel="1" x14ac:dyDescent="0.3">
      <c r="B48" t="s">
        <v>366</v>
      </c>
      <c r="F48" s="14"/>
      <c r="G48" s="24">
        <f>'CAC Inc Stmt'!G48+'AL Inc Stmt'!G48+'ESL Inc Stmt'!G48</f>
        <v>4963</v>
      </c>
      <c r="H48" s="22">
        <f>'CAC Inc Stmt'!H48+'AL Inc Stmt'!H48+'ESL Inc Stmt'!H48</f>
        <v>1563</v>
      </c>
      <c r="I48" s="22">
        <f>'CAC Inc Stmt'!I48+'AL Inc Stmt'!I48+'ESL Inc Stmt'!I48</f>
        <v>2565.77</v>
      </c>
      <c r="J48" s="22">
        <f>'CAC Inc Stmt'!J48+'AL Inc Stmt'!J48+'ESL Inc Stmt'!J48</f>
        <v>3874.24</v>
      </c>
      <c r="K48" s="22">
        <f>'CAC Inc Stmt'!K48+'AL Inc Stmt'!K48+'ESL Inc Stmt'!K48</f>
        <v>6183.26</v>
      </c>
      <c r="L48" s="42">
        <f>'CAC Inc Stmt'!L48+'AL Inc Stmt'!L48+'ESL Inc Stmt'!L48</f>
        <v>1563</v>
      </c>
      <c r="M48" s="22">
        <f>'CAC Inc Stmt'!M48+'AL Inc Stmt'!M48+'ESL Inc Stmt'!M48</f>
        <v>1002.7699999999999</v>
      </c>
      <c r="N48" s="22">
        <f>'CAC Inc Stmt'!N48+'AL Inc Stmt'!N48+'ESL Inc Stmt'!N48</f>
        <v>1308.47</v>
      </c>
      <c r="O48" s="22">
        <f>'CAC Inc Stmt'!O48+'AL Inc Stmt'!O48+'ESL Inc Stmt'!O48</f>
        <v>2309.02</v>
      </c>
      <c r="P48" s="23">
        <f>'CAC Inc Stmt'!P48+'AL Inc Stmt'!P48+'ESL Inc Stmt'!P48</f>
        <v>6183.26</v>
      </c>
      <c r="Q48" s="81">
        <f>'CAC Inc Stmt'!Q48+'AL Inc Stmt'!Q48+'ESL Inc Stmt'!Q48</f>
        <v>5000</v>
      </c>
      <c r="R48" s="41">
        <f t="shared" ref="R48:R74" si="12">P48-Q48</f>
        <v>1183.2600000000002</v>
      </c>
      <c r="S48" s="278">
        <f t="shared" ref="S48:S76" si="13">IF(Q48=0,"",P48/Q48)</f>
        <v>1.2366520000000001</v>
      </c>
      <c r="T48" s="74">
        <f t="shared" ref="T48:T74" si="14">P48-G48</f>
        <v>1220.2600000000002</v>
      </c>
      <c r="U48" s="275">
        <f t="shared" ref="U48:U76" si="15">IF(G48=0,"",P48/G48)</f>
        <v>1.245871448720532</v>
      </c>
    </row>
    <row r="49" spans="2:21" outlineLevel="1" x14ac:dyDescent="0.3">
      <c r="B49" t="s">
        <v>229</v>
      </c>
      <c r="F49" s="14" t="s">
        <v>212</v>
      </c>
      <c r="G49" s="24">
        <f>'CAC Inc Stmt'!G49+'AL Inc Stmt'!G49+'ESL Inc Stmt'!G49</f>
        <v>17868</v>
      </c>
      <c r="H49" s="22">
        <f>'CAC Inc Stmt'!H49+'AL Inc Stmt'!H49+'ESL Inc Stmt'!H49</f>
        <v>1682.26</v>
      </c>
      <c r="I49" s="22">
        <f>'CAC Inc Stmt'!I49+'AL Inc Stmt'!I49+'ESL Inc Stmt'!I49</f>
        <v>9095</v>
      </c>
      <c r="J49" s="22">
        <f>'CAC Inc Stmt'!J49+'AL Inc Stmt'!J49+'ESL Inc Stmt'!J49</f>
        <v>14170</v>
      </c>
      <c r="K49" s="22">
        <f>'CAC Inc Stmt'!K49+'AL Inc Stmt'!K49+'ESL Inc Stmt'!K49</f>
        <v>19227</v>
      </c>
      <c r="L49" s="42">
        <f>'CAC Inc Stmt'!L49+'AL Inc Stmt'!L49+'ESL Inc Stmt'!L49</f>
        <v>1682.26</v>
      </c>
      <c r="M49" s="22">
        <f>'CAC Inc Stmt'!M49+'AL Inc Stmt'!M49+'ESL Inc Stmt'!M49</f>
        <v>7412.74</v>
      </c>
      <c r="N49" s="22">
        <f>'CAC Inc Stmt'!N49+'AL Inc Stmt'!N49+'ESL Inc Stmt'!N49</f>
        <v>5075</v>
      </c>
      <c r="O49" s="22">
        <f>'CAC Inc Stmt'!O49+'AL Inc Stmt'!O49+'ESL Inc Stmt'!O49</f>
        <v>5057</v>
      </c>
      <c r="P49" s="23">
        <f>'CAC Inc Stmt'!P49+'AL Inc Stmt'!P49+'ESL Inc Stmt'!P49</f>
        <v>19227</v>
      </c>
      <c r="Q49" s="81">
        <f>'CAC Inc Stmt'!Q49+'AL Inc Stmt'!Q49+'ESL Inc Stmt'!Q49</f>
        <v>19600.000000000004</v>
      </c>
      <c r="R49" s="41">
        <f t="shared" si="12"/>
        <v>-373.00000000000364</v>
      </c>
      <c r="S49" s="278">
        <f t="shared" si="13"/>
        <v>0.9809693877551019</v>
      </c>
      <c r="T49" s="74">
        <f t="shared" si="14"/>
        <v>1359</v>
      </c>
      <c r="U49" s="275">
        <f t="shared" si="15"/>
        <v>1.0760577568838146</v>
      </c>
    </row>
    <row r="50" spans="2:21" outlineLevel="1" x14ac:dyDescent="0.3">
      <c r="B50" t="s">
        <v>1</v>
      </c>
      <c r="F50" s="14"/>
      <c r="G50" s="24">
        <f>'CAC Inc Stmt'!G50+'AL Inc Stmt'!G50+'ESL Inc Stmt'!G50</f>
        <v>1292.3599999999999</v>
      </c>
      <c r="H50" s="22">
        <f>'CAC Inc Stmt'!H50+'AL Inc Stmt'!H50+'ESL Inc Stmt'!H50</f>
        <v>0</v>
      </c>
      <c r="I50" s="22">
        <f>'CAC Inc Stmt'!I50+'AL Inc Stmt'!I50+'ESL Inc Stmt'!I50</f>
        <v>543.64</v>
      </c>
      <c r="J50" s="22">
        <f>'CAC Inc Stmt'!J50+'AL Inc Stmt'!J50+'ESL Inc Stmt'!J50</f>
        <v>543.64</v>
      </c>
      <c r="K50" s="22">
        <f>'CAC Inc Stmt'!K50+'AL Inc Stmt'!K50+'ESL Inc Stmt'!K50</f>
        <v>1543.6399999999999</v>
      </c>
      <c r="L50" s="42">
        <f>'CAC Inc Stmt'!L50+'AL Inc Stmt'!L50+'ESL Inc Stmt'!L50</f>
        <v>0</v>
      </c>
      <c r="M50" s="22">
        <f>'CAC Inc Stmt'!M50+'AL Inc Stmt'!M50+'ESL Inc Stmt'!M50</f>
        <v>543.64</v>
      </c>
      <c r="N50" s="22">
        <f>'CAC Inc Stmt'!N50+'AL Inc Stmt'!N50+'ESL Inc Stmt'!N50</f>
        <v>0</v>
      </c>
      <c r="O50" s="22">
        <f>'CAC Inc Stmt'!O50+'AL Inc Stmt'!O50+'ESL Inc Stmt'!O50</f>
        <v>999.99999999999989</v>
      </c>
      <c r="P50" s="23">
        <f>'CAC Inc Stmt'!P50+'AL Inc Stmt'!P50+'ESL Inc Stmt'!P50</f>
        <v>1543.6399999999999</v>
      </c>
      <c r="Q50" s="81">
        <f>'CAC Inc Stmt'!Q50+'AL Inc Stmt'!Q50+'ESL Inc Stmt'!Q50</f>
        <v>1000</v>
      </c>
      <c r="R50" s="41">
        <f t="shared" si="12"/>
        <v>543.63999999999987</v>
      </c>
      <c r="S50" s="278">
        <f t="shared" si="13"/>
        <v>1.5436399999999999</v>
      </c>
      <c r="T50" s="74">
        <f t="shared" si="14"/>
        <v>251.27999999999997</v>
      </c>
      <c r="U50" s="275">
        <f t="shared" si="15"/>
        <v>1.1944349871552817</v>
      </c>
    </row>
    <row r="51" spans="2:21" outlineLevel="1" x14ac:dyDescent="0.3">
      <c r="B51" t="s">
        <v>230</v>
      </c>
      <c r="F51" s="14" t="s">
        <v>215</v>
      </c>
      <c r="G51" s="24">
        <f>'CAC Inc Stmt'!G51+'AL Inc Stmt'!G51+'ESL Inc Stmt'!G51</f>
        <v>8264</v>
      </c>
      <c r="H51" s="22">
        <f>'CAC Inc Stmt'!H51+'AL Inc Stmt'!H51+'ESL Inc Stmt'!H51</f>
        <v>4577.53</v>
      </c>
      <c r="I51" s="22">
        <f>'CAC Inc Stmt'!I51+'AL Inc Stmt'!I51+'ESL Inc Stmt'!I51</f>
        <v>3624.24</v>
      </c>
      <c r="J51" s="22">
        <f>'CAC Inc Stmt'!J51+'AL Inc Stmt'!J51+'ESL Inc Stmt'!J51</f>
        <v>4100</v>
      </c>
      <c r="K51" s="22">
        <f>'CAC Inc Stmt'!K51+'AL Inc Stmt'!K51+'ESL Inc Stmt'!K51</f>
        <v>4838</v>
      </c>
      <c r="L51" s="42">
        <f>'CAC Inc Stmt'!L51+'AL Inc Stmt'!L51+'ESL Inc Stmt'!L51</f>
        <v>4577.53</v>
      </c>
      <c r="M51" s="22">
        <f>'CAC Inc Stmt'!M51+'AL Inc Stmt'!M51+'ESL Inc Stmt'!M51</f>
        <v>-953.29</v>
      </c>
      <c r="N51" s="22">
        <f>'CAC Inc Stmt'!N51+'AL Inc Stmt'!N51+'ESL Inc Stmt'!N51</f>
        <v>475.76000000000022</v>
      </c>
      <c r="O51" s="22">
        <f>'CAC Inc Stmt'!O51+'AL Inc Stmt'!O51+'ESL Inc Stmt'!O51</f>
        <v>738</v>
      </c>
      <c r="P51" s="23">
        <f>'CAC Inc Stmt'!P51+'AL Inc Stmt'!P51+'ESL Inc Stmt'!P51</f>
        <v>4838</v>
      </c>
      <c r="Q51" s="81">
        <f>'CAC Inc Stmt'!Q51+'AL Inc Stmt'!Q51+'ESL Inc Stmt'!Q51</f>
        <v>6943</v>
      </c>
      <c r="R51" s="41">
        <f t="shared" si="12"/>
        <v>-2105</v>
      </c>
      <c r="S51" s="278">
        <f t="shared" si="13"/>
        <v>0.69681693792308796</v>
      </c>
      <c r="T51" s="74">
        <f t="shared" si="14"/>
        <v>-3426</v>
      </c>
      <c r="U51" s="275">
        <f t="shared" si="15"/>
        <v>0.58543078412391092</v>
      </c>
    </row>
    <row r="52" spans="2:21" outlineLevel="1" x14ac:dyDescent="0.3">
      <c r="B52" t="s">
        <v>227</v>
      </c>
      <c r="F52" s="14"/>
      <c r="G52" s="24">
        <f>'CAC Inc Stmt'!G52+'AL Inc Stmt'!G52+'ESL Inc Stmt'!G52</f>
        <v>26128.190000000002</v>
      </c>
      <c r="H52" s="22">
        <f>'CAC Inc Stmt'!H52+'AL Inc Stmt'!H52+'ESL Inc Stmt'!H52</f>
        <v>3477.03</v>
      </c>
      <c r="I52" s="22">
        <f>'CAC Inc Stmt'!I52+'AL Inc Stmt'!I52+'ESL Inc Stmt'!I52</f>
        <v>14232.06</v>
      </c>
      <c r="J52" s="22">
        <f>'CAC Inc Stmt'!J52+'AL Inc Stmt'!J52+'ESL Inc Stmt'!J52</f>
        <v>18360.09</v>
      </c>
      <c r="K52" s="22">
        <f>'CAC Inc Stmt'!K52+'AL Inc Stmt'!K52+'ESL Inc Stmt'!K52</f>
        <v>22778.94</v>
      </c>
      <c r="L52" s="42">
        <f>'CAC Inc Stmt'!L52+'AL Inc Stmt'!L52+'ESL Inc Stmt'!L52</f>
        <v>3477.03</v>
      </c>
      <c r="M52" s="22">
        <f>'CAC Inc Stmt'!M52+'AL Inc Stmt'!M52+'ESL Inc Stmt'!M52</f>
        <v>10755.029999999999</v>
      </c>
      <c r="N52" s="22">
        <f>'CAC Inc Stmt'!N52+'AL Inc Stmt'!N52+'ESL Inc Stmt'!N52</f>
        <v>4128.0300000000007</v>
      </c>
      <c r="O52" s="22">
        <f>'CAC Inc Stmt'!O52+'AL Inc Stmt'!O52+'ESL Inc Stmt'!O52</f>
        <v>4418.8500000000004</v>
      </c>
      <c r="P52" s="23">
        <f>'CAC Inc Stmt'!P52+'AL Inc Stmt'!P52+'ESL Inc Stmt'!P52</f>
        <v>22778.94</v>
      </c>
      <c r="Q52" s="106">
        <f>'CAC Inc Stmt'!Q52+'AL Inc Stmt'!Q52+'ESL Inc Stmt'!Q52</f>
        <v>20167</v>
      </c>
      <c r="R52" s="41">
        <f t="shared" si="12"/>
        <v>2611.9399999999987</v>
      </c>
      <c r="S52" s="278">
        <f t="shared" si="13"/>
        <v>1.1295155451976</v>
      </c>
      <c r="T52" s="74">
        <f t="shared" si="14"/>
        <v>-3349.2500000000036</v>
      </c>
      <c r="U52" s="275">
        <f t="shared" si="15"/>
        <v>0.87181469516258103</v>
      </c>
    </row>
    <row r="53" spans="2:21" outlineLevel="1" x14ac:dyDescent="0.3">
      <c r="B53" t="s">
        <v>228</v>
      </c>
      <c r="F53" s="14"/>
      <c r="G53" s="24">
        <f>'CAC Inc Stmt'!G53+'AL Inc Stmt'!G53+'ESL Inc Stmt'!G53</f>
        <v>7219</v>
      </c>
      <c r="H53" s="22">
        <f>'CAC Inc Stmt'!H53+'AL Inc Stmt'!H53+'ESL Inc Stmt'!H53</f>
        <v>1939.44</v>
      </c>
      <c r="I53" s="22">
        <f>'CAC Inc Stmt'!I53+'AL Inc Stmt'!I53+'ESL Inc Stmt'!I53</f>
        <v>4983.57</v>
      </c>
      <c r="J53" s="22">
        <f>'CAC Inc Stmt'!J53+'AL Inc Stmt'!J53+'ESL Inc Stmt'!J53</f>
        <v>6486.22</v>
      </c>
      <c r="K53" s="22">
        <f>'CAC Inc Stmt'!K53+'AL Inc Stmt'!K53+'ESL Inc Stmt'!K53</f>
        <v>7975.71</v>
      </c>
      <c r="L53" s="42">
        <f>'CAC Inc Stmt'!L53+'AL Inc Stmt'!L53+'ESL Inc Stmt'!L53</f>
        <v>1939.44</v>
      </c>
      <c r="M53" s="22">
        <f>'CAC Inc Stmt'!M53+'AL Inc Stmt'!M53+'ESL Inc Stmt'!M53</f>
        <v>3044.13</v>
      </c>
      <c r="N53" s="22">
        <f>'CAC Inc Stmt'!N53+'AL Inc Stmt'!N53+'ESL Inc Stmt'!N53</f>
        <v>1502.6499999999999</v>
      </c>
      <c r="O53" s="22">
        <f>'CAC Inc Stmt'!O53+'AL Inc Stmt'!O53+'ESL Inc Stmt'!O53</f>
        <v>1489.49</v>
      </c>
      <c r="P53" s="23">
        <f>'CAC Inc Stmt'!P53+'AL Inc Stmt'!P53+'ESL Inc Stmt'!P53</f>
        <v>7975.71</v>
      </c>
      <c r="Q53" s="106">
        <f>'CAC Inc Stmt'!Q53+'AL Inc Stmt'!Q53+'ESL Inc Stmt'!Q53</f>
        <v>7790</v>
      </c>
      <c r="R53" s="41">
        <f t="shared" si="12"/>
        <v>185.71000000000004</v>
      </c>
      <c r="S53" s="278">
        <f t="shared" si="13"/>
        <v>1.023839537869063</v>
      </c>
      <c r="T53" s="74">
        <f t="shared" si="14"/>
        <v>756.71</v>
      </c>
      <c r="U53" s="275">
        <f t="shared" si="15"/>
        <v>1.1048219975065798</v>
      </c>
    </row>
    <row r="54" spans="2:21" outlineLevel="1" x14ac:dyDescent="0.3">
      <c r="B54" t="s">
        <v>95</v>
      </c>
      <c r="F54" s="14"/>
      <c r="G54" s="24">
        <f>'CAC Inc Stmt'!G54+'AL Inc Stmt'!G54+'ESL Inc Stmt'!G54</f>
        <v>16250.200099999998</v>
      </c>
      <c r="H54" s="22">
        <f>'CAC Inc Stmt'!H54+'AL Inc Stmt'!H54+'ESL Inc Stmt'!H54</f>
        <v>17413.2</v>
      </c>
      <c r="I54" s="22">
        <f>'CAC Inc Stmt'!I54+'AL Inc Stmt'!I54+'ESL Inc Stmt'!I54</f>
        <v>22859.200000000001</v>
      </c>
      <c r="J54" s="22">
        <f>'CAC Inc Stmt'!J54+'AL Inc Stmt'!J54+'ESL Inc Stmt'!J54</f>
        <v>17413.2</v>
      </c>
      <c r="K54" s="22">
        <f>'CAC Inc Stmt'!K54+'AL Inc Stmt'!K54+'ESL Inc Stmt'!K54</f>
        <v>17413.2</v>
      </c>
      <c r="L54" s="42">
        <f>'CAC Inc Stmt'!L54+'AL Inc Stmt'!L54+'ESL Inc Stmt'!L54</f>
        <v>17413.2</v>
      </c>
      <c r="M54" s="22">
        <f>'CAC Inc Stmt'!M54+'AL Inc Stmt'!M54+'ESL Inc Stmt'!M54</f>
        <v>5446</v>
      </c>
      <c r="N54" s="22">
        <f>'CAC Inc Stmt'!N54+'AL Inc Stmt'!N54+'ESL Inc Stmt'!N54</f>
        <v>-5446.0000000000009</v>
      </c>
      <c r="O54" s="22">
        <f>'CAC Inc Stmt'!O54+'AL Inc Stmt'!O54+'ESL Inc Stmt'!O54</f>
        <v>0</v>
      </c>
      <c r="P54" s="23">
        <f>'CAC Inc Stmt'!P54+'AL Inc Stmt'!P54+'ESL Inc Stmt'!P54</f>
        <v>17413.2</v>
      </c>
      <c r="Q54" s="106">
        <f>'CAC Inc Stmt'!Q54+'AL Inc Stmt'!Q54+'ESL Inc Stmt'!Q54</f>
        <v>16848.2</v>
      </c>
      <c r="R54" s="105">
        <f t="shared" si="12"/>
        <v>565</v>
      </c>
      <c r="S54" s="278">
        <f t="shared" si="13"/>
        <v>1.0335347396161014</v>
      </c>
      <c r="T54" s="74">
        <f t="shared" si="14"/>
        <v>1162.9999000000025</v>
      </c>
      <c r="U54" s="275">
        <f t="shared" si="15"/>
        <v>1.0715683433338155</v>
      </c>
    </row>
    <row r="55" spans="2:21" outlineLevel="1" x14ac:dyDescent="0.3">
      <c r="B55" t="s">
        <v>231</v>
      </c>
      <c r="F55" s="14"/>
      <c r="G55" s="24">
        <f>'CAC Inc Stmt'!G55+'AL Inc Stmt'!G55+'ESL Inc Stmt'!G55</f>
        <v>2990</v>
      </c>
      <c r="H55" s="22">
        <f>'CAC Inc Stmt'!H55+'AL Inc Stmt'!H55+'ESL Inc Stmt'!H55</f>
        <v>0</v>
      </c>
      <c r="I55" s="22">
        <f>'CAC Inc Stmt'!I55+'AL Inc Stmt'!I55+'ESL Inc Stmt'!I55</f>
        <v>1330</v>
      </c>
      <c r="J55" s="22">
        <f>'CAC Inc Stmt'!J55+'AL Inc Stmt'!J55+'ESL Inc Stmt'!J55</f>
        <v>1330</v>
      </c>
      <c r="K55" s="22">
        <f>'CAC Inc Stmt'!K55+'AL Inc Stmt'!K55+'ESL Inc Stmt'!K55</f>
        <v>1330</v>
      </c>
      <c r="L55" s="42">
        <f>'CAC Inc Stmt'!L55+'AL Inc Stmt'!L55+'ESL Inc Stmt'!L55</f>
        <v>0</v>
      </c>
      <c r="M55" s="22">
        <f>'CAC Inc Stmt'!M55+'AL Inc Stmt'!M55+'ESL Inc Stmt'!M55</f>
        <v>1330</v>
      </c>
      <c r="N55" s="22">
        <f>'CAC Inc Stmt'!N55+'AL Inc Stmt'!N55+'ESL Inc Stmt'!N55</f>
        <v>0</v>
      </c>
      <c r="O55" s="22">
        <f>'CAC Inc Stmt'!O55+'AL Inc Stmt'!O55+'ESL Inc Stmt'!O55</f>
        <v>0</v>
      </c>
      <c r="P55" s="23">
        <f>'CAC Inc Stmt'!P55+'AL Inc Stmt'!P55+'ESL Inc Stmt'!P55</f>
        <v>1330</v>
      </c>
      <c r="Q55" s="106">
        <f>'CAC Inc Stmt'!Q55+'AL Inc Stmt'!Q55+'ESL Inc Stmt'!Q55</f>
        <v>2700</v>
      </c>
      <c r="R55" s="41">
        <f t="shared" si="12"/>
        <v>-1370</v>
      </c>
      <c r="S55" s="278">
        <f t="shared" si="13"/>
        <v>0.49259259259259258</v>
      </c>
      <c r="T55" s="74">
        <f t="shared" si="14"/>
        <v>-1660</v>
      </c>
      <c r="U55" s="275">
        <f t="shared" si="15"/>
        <v>0.44481605351170567</v>
      </c>
    </row>
    <row r="56" spans="2:21" outlineLevel="1" x14ac:dyDescent="0.3">
      <c r="B56" t="s">
        <v>6</v>
      </c>
      <c r="F56" s="14">
        <v>8222</v>
      </c>
      <c r="G56" s="24">
        <f>'CAC Inc Stmt'!G56+'AL Inc Stmt'!G56+'ESL Inc Stmt'!G56</f>
        <v>3897</v>
      </c>
      <c r="H56" s="22">
        <f>'CAC Inc Stmt'!H56+'AL Inc Stmt'!H56+'ESL Inc Stmt'!H56</f>
        <v>990.98</v>
      </c>
      <c r="I56" s="22">
        <f>'CAC Inc Stmt'!I56+'AL Inc Stmt'!I56+'ESL Inc Stmt'!I56</f>
        <v>1979.2</v>
      </c>
      <c r="J56" s="22">
        <f>'CAC Inc Stmt'!J56+'AL Inc Stmt'!J56+'ESL Inc Stmt'!J56</f>
        <v>2810.25</v>
      </c>
      <c r="K56" s="22">
        <f>'CAC Inc Stmt'!K56+'AL Inc Stmt'!K56+'ESL Inc Stmt'!K56</f>
        <v>4102</v>
      </c>
      <c r="L56" s="42">
        <f>'CAC Inc Stmt'!L56+'AL Inc Stmt'!L56+'ESL Inc Stmt'!L56</f>
        <v>990.98</v>
      </c>
      <c r="M56" s="22">
        <f>'CAC Inc Stmt'!M56+'AL Inc Stmt'!M56+'ESL Inc Stmt'!M56</f>
        <v>988.22</v>
      </c>
      <c r="N56" s="22">
        <f>'CAC Inc Stmt'!N56+'AL Inc Stmt'!N56+'ESL Inc Stmt'!N56</f>
        <v>831.05</v>
      </c>
      <c r="O56" s="22">
        <f>'CAC Inc Stmt'!O56+'AL Inc Stmt'!O56+'ESL Inc Stmt'!O56</f>
        <v>1291.75</v>
      </c>
      <c r="P56" s="23">
        <f>'CAC Inc Stmt'!P56+'AL Inc Stmt'!P56+'ESL Inc Stmt'!P56</f>
        <v>4102</v>
      </c>
      <c r="Q56" s="106">
        <f>'CAC Inc Stmt'!Q56+'AL Inc Stmt'!Q56+'ESL Inc Stmt'!Q56</f>
        <v>3950</v>
      </c>
      <c r="R56" s="41">
        <f t="shared" si="12"/>
        <v>152</v>
      </c>
      <c r="S56" s="278">
        <f t="shared" si="13"/>
        <v>1.0384810126582278</v>
      </c>
      <c r="T56" s="74">
        <f t="shared" si="14"/>
        <v>205</v>
      </c>
      <c r="U56" s="275">
        <f t="shared" si="15"/>
        <v>1.0526045676161149</v>
      </c>
    </row>
    <row r="57" spans="2:21" outlineLevel="1" x14ac:dyDescent="0.3">
      <c r="B57" t="s">
        <v>232</v>
      </c>
      <c r="F57" s="14">
        <v>8224</v>
      </c>
      <c r="G57" s="24">
        <f>'CAC Inc Stmt'!G57+'AL Inc Stmt'!G57+'ESL Inc Stmt'!G57</f>
        <v>340</v>
      </c>
      <c r="H57" s="22">
        <f>'CAC Inc Stmt'!H57+'AL Inc Stmt'!H57+'ESL Inc Stmt'!H57</f>
        <v>70.5</v>
      </c>
      <c r="I57" s="22">
        <f>'CAC Inc Stmt'!I57+'AL Inc Stmt'!I57+'ESL Inc Stmt'!I57</f>
        <v>106.22</v>
      </c>
      <c r="J57" s="22">
        <f>'CAC Inc Stmt'!J57+'AL Inc Stmt'!J57+'ESL Inc Stmt'!J57</f>
        <v>106</v>
      </c>
      <c r="K57" s="22">
        <f>'CAC Inc Stmt'!K57+'AL Inc Stmt'!K57+'ESL Inc Stmt'!K57</f>
        <v>106</v>
      </c>
      <c r="L57" s="42">
        <f>'CAC Inc Stmt'!L57+'AL Inc Stmt'!L57+'ESL Inc Stmt'!L57</f>
        <v>70.5</v>
      </c>
      <c r="M57" s="22">
        <f>'CAC Inc Stmt'!M57+'AL Inc Stmt'!M57+'ESL Inc Stmt'!M57</f>
        <v>35.72</v>
      </c>
      <c r="N57" s="22">
        <f>'CAC Inc Stmt'!N57+'AL Inc Stmt'!N57+'ESL Inc Stmt'!N57</f>
        <v>-0.21999999999999886</v>
      </c>
      <c r="O57" s="22">
        <f>'CAC Inc Stmt'!O57+'AL Inc Stmt'!O57+'ESL Inc Stmt'!O57</f>
        <v>0</v>
      </c>
      <c r="P57" s="23">
        <f>'CAC Inc Stmt'!P57+'AL Inc Stmt'!P57+'ESL Inc Stmt'!P57</f>
        <v>106</v>
      </c>
      <c r="Q57" s="106">
        <f>'CAC Inc Stmt'!Q57+'AL Inc Stmt'!Q57+'ESL Inc Stmt'!Q57</f>
        <v>414</v>
      </c>
      <c r="R57" s="41">
        <f t="shared" si="12"/>
        <v>-308</v>
      </c>
      <c r="S57" s="278">
        <f t="shared" si="13"/>
        <v>0.2560386473429952</v>
      </c>
      <c r="T57" s="74">
        <f t="shared" si="14"/>
        <v>-234</v>
      </c>
      <c r="U57" s="275">
        <f t="shared" si="15"/>
        <v>0.31176470588235294</v>
      </c>
    </row>
    <row r="58" spans="2:21" outlineLevel="1" x14ac:dyDescent="0.3">
      <c r="B58" t="s">
        <v>233</v>
      </c>
      <c r="F58" s="14">
        <v>8116</v>
      </c>
      <c r="G58" s="24">
        <f>'CAC Inc Stmt'!G58+'AL Inc Stmt'!G58+'ESL Inc Stmt'!G58</f>
        <v>4724</v>
      </c>
      <c r="H58" s="22">
        <f>'CAC Inc Stmt'!H58+'AL Inc Stmt'!H58+'ESL Inc Stmt'!H58</f>
        <v>1322.18</v>
      </c>
      <c r="I58" s="22">
        <f>'CAC Inc Stmt'!I58+'AL Inc Stmt'!I58+'ESL Inc Stmt'!I58</f>
        <v>2824.1</v>
      </c>
      <c r="J58" s="22">
        <f>'CAC Inc Stmt'!J58+'AL Inc Stmt'!J58+'ESL Inc Stmt'!J58</f>
        <v>5034.34</v>
      </c>
      <c r="K58" s="22">
        <f>'CAC Inc Stmt'!K58+'AL Inc Stmt'!K58+'ESL Inc Stmt'!K58</f>
        <v>6680.4400000000005</v>
      </c>
      <c r="L58" s="42">
        <f>'CAC Inc Stmt'!L58+'AL Inc Stmt'!L58+'ESL Inc Stmt'!L58</f>
        <v>1322.18</v>
      </c>
      <c r="M58" s="22">
        <f>'CAC Inc Stmt'!M58+'AL Inc Stmt'!M58+'ESL Inc Stmt'!M58</f>
        <v>1501.9199999999998</v>
      </c>
      <c r="N58" s="22">
        <f>'CAC Inc Stmt'!N58+'AL Inc Stmt'!N58+'ESL Inc Stmt'!N58</f>
        <v>2210.2399999999998</v>
      </c>
      <c r="O58" s="22">
        <f>'CAC Inc Stmt'!O58+'AL Inc Stmt'!O58+'ESL Inc Stmt'!O58</f>
        <v>1646.1000000000001</v>
      </c>
      <c r="P58" s="23">
        <f>'CAC Inc Stmt'!P58+'AL Inc Stmt'!P58+'ESL Inc Stmt'!P58</f>
        <v>6680.4400000000005</v>
      </c>
      <c r="Q58" s="106">
        <f>'CAC Inc Stmt'!Q58+'AL Inc Stmt'!Q58+'ESL Inc Stmt'!Q58</f>
        <v>3961</v>
      </c>
      <c r="R58" s="41">
        <f t="shared" si="12"/>
        <v>2719.4400000000005</v>
      </c>
      <c r="S58" s="278">
        <f t="shared" si="13"/>
        <v>1.6865539005301693</v>
      </c>
      <c r="T58" s="74">
        <f t="shared" si="14"/>
        <v>1956.4400000000005</v>
      </c>
      <c r="U58" s="275">
        <f t="shared" si="15"/>
        <v>1.4141490262489418</v>
      </c>
    </row>
    <row r="59" spans="2:21" outlineLevel="1" x14ac:dyDescent="0.3">
      <c r="B59" t="s">
        <v>234</v>
      </c>
      <c r="F59" s="14">
        <v>8540</v>
      </c>
      <c r="G59" s="24">
        <f>'CAC Inc Stmt'!G59+'AL Inc Stmt'!G59+'ESL Inc Stmt'!G59</f>
        <v>1969</v>
      </c>
      <c r="H59" s="22">
        <f>'CAC Inc Stmt'!H59+'AL Inc Stmt'!H59+'ESL Inc Stmt'!H59</f>
        <v>399.2</v>
      </c>
      <c r="I59" s="22">
        <f>'CAC Inc Stmt'!I59+'AL Inc Stmt'!I59+'ESL Inc Stmt'!I59</f>
        <v>477</v>
      </c>
      <c r="J59" s="22">
        <f>'CAC Inc Stmt'!J59+'AL Inc Stmt'!J59+'ESL Inc Stmt'!J59</f>
        <v>953</v>
      </c>
      <c r="K59" s="22">
        <f>'CAC Inc Stmt'!K59+'AL Inc Stmt'!K59+'ESL Inc Stmt'!K59</f>
        <v>953</v>
      </c>
      <c r="L59" s="42">
        <f>'CAC Inc Stmt'!L59+'AL Inc Stmt'!L59+'ESL Inc Stmt'!L59</f>
        <v>399.2</v>
      </c>
      <c r="M59" s="22">
        <f>'CAC Inc Stmt'!M59+'AL Inc Stmt'!M59+'ESL Inc Stmt'!M59</f>
        <v>77.800000000000011</v>
      </c>
      <c r="N59" s="22">
        <f>'CAC Inc Stmt'!N59+'AL Inc Stmt'!N59+'ESL Inc Stmt'!N59</f>
        <v>476</v>
      </c>
      <c r="O59" s="22">
        <f>'CAC Inc Stmt'!O59+'AL Inc Stmt'!O59+'ESL Inc Stmt'!O59</f>
        <v>0</v>
      </c>
      <c r="P59" s="23">
        <f>'CAC Inc Stmt'!P59+'AL Inc Stmt'!P59+'ESL Inc Stmt'!P59</f>
        <v>953</v>
      </c>
      <c r="Q59" s="106">
        <f>'CAC Inc Stmt'!Q59+'AL Inc Stmt'!Q59+'ESL Inc Stmt'!Q59</f>
        <v>1718</v>
      </c>
      <c r="R59" s="41">
        <f t="shared" si="12"/>
        <v>-765</v>
      </c>
      <c r="S59" s="278">
        <f t="shared" si="13"/>
        <v>0.55471478463329449</v>
      </c>
      <c r="T59" s="74">
        <f t="shared" si="14"/>
        <v>-1016</v>
      </c>
      <c r="U59" s="275">
        <f t="shared" si="15"/>
        <v>0.48400203148806503</v>
      </c>
    </row>
    <row r="60" spans="2:21" outlineLevel="1" x14ac:dyDescent="0.3">
      <c r="B60" t="s">
        <v>92</v>
      </c>
      <c r="F60" s="14">
        <v>8117</v>
      </c>
      <c r="G60" s="24">
        <f>'CAC Inc Stmt'!G60+'AL Inc Stmt'!G60+'ESL Inc Stmt'!G60</f>
        <v>306</v>
      </c>
      <c r="H60" s="22">
        <f>'CAC Inc Stmt'!H60+'AL Inc Stmt'!H60+'ESL Inc Stmt'!H60</f>
        <v>0</v>
      </c>
      <c r="I60" s="22">
        <f>'CAC Inc Stmt'!I60+'AL Inc Stmt'!I60+'ESL Inc Stmt'!I60</f>
        <v>813</v>
      </c>
      <c r="J60" s="22">
        <f>'CAC Inc Stmt'!J60+'AL Inc Stmt'!J60+'ESL Inc Stmt'!J60</f>
        <v>813</v>
      </c>
      <c r="K60" s="22">
        <f>'CAC Inc Stmt'!K60+'AL Inc Stmt'!K60+'ESL Inc Stmt'!K60</f>
        <v>813</v>
      </c>
      <c r="L60" s="42">
        <f>'CAC Inc Stmt'!L60+'AL Inc Stmt'!L60+'ESL Inc Stmt'!L60</f>
        <v>0</v>
      </c>
      <c r="M60" s="22">
        <f>'CAC Inc Stmt'!M60+'AL Inc Stmt'!M60+'ESL Inc Stmt'!M60</f>
        <v>813</v>
      </c>
      <c r="N60" s="22">
        <f>'CAC Inc Stmt'!N60+'AL Inc Stmt'!N60+'ESL Inc Stmt'!N60</f>
        <v>0</v>
      </c>
      <c r="O60" s="22">
        <f>'CAC Inc Stmt'!O60+'AL Inc Stmt'!O60+'ESL Inc Stmt'!O60</f>
        <v>0</v>
      </c>
      <c r="P60" s="23">
        <f>'CAC Inc Stmt'!P60+'AL Inc Stmt'!P60+'ESL Inc Stmt'!P60</f>
        <v>813</v>
      </c>
      <c r="Q60" s="106">
        <f>'CAC Inc Stmt'!Q60+'AL Inc Stmt'!Q60+'ESL Inc Stmt'!Q60</f>
        <v>350</v>
      </c>
      <c r="R60" s="41">
        <f t="shared" si="12"/>
        <v>463</v>
      </c>
      <c r="S60" s="278">
        <f t="shared" si="13"/>
        <v>2.322857142857143</v>
      </c>
      <c r="T60" s="74">
        <f t="shared" si="14"/>
        <v>507</v>
      </c>
      <c r="U60" s="275">
        <f t="shared" si="15"/>
        <v>2.6568627450980391</v>
      </c>
    </row>
    <row r="61" spans="2:21" outlineLevel="1" x14ac:dyDescent="0.3">
      <c r="B61" t="s">
        <v>93</v>
      </c>
      <c r="F61" s="14" t="s">
        <v>214</v>
      </c>
      <c r="G61" s="24">
        <f>'CAC Inc Stmt'!G61+'AL Inc Stmt'!G61+'ESL Inc Stmt'!G61</f>
        <v>354</v>
      </c>
      <c r="H61" s="22">
        <f>'CAC Inc Stmt'!H61+'AL Inc Stmt'!H61+'ESL Inc Stmt'!H61</f>
        <v>0</v>
      </c>
      <c r="I61" s="22">
        <f>'CAC Inc Stmt'!I61+'AL Inc Stmt'!I61+'ESL Inc Stmt'!I61</f>
        <v>0</v>
      </c>
      <c r="J61" s="22">
        <f>'CAC Inc Stmt'!J61+'AL Inc Stmt'!J61+'ESL Inc Stmt'!J61</f>
        <v>0</v>
      </c>
      <c r="K61" s="22">
        <f>'CAC Inc Stmt'!K61+'AL Inc Stmt'!K61+'ESL Inc Stmt'!K61</f>
        <v>0</v>
      </c>
      <c r="L61" s="42">
        <f>'CAC Inc Stmt'!L61+'AL Inc Stmt'!L61+'ESL Inc Stmt'!L61</f>
        <v>0</v>
      </c>
      <c r="M61" s="22">
        <f>'CAC Inc Stmt'!M61+'AL Inc Stmt'!M61+'ESL Inc Stmt'!M61</f>
        <v>0</v>
      </c>
      <c r="N61" s="22">
        <f>'CAC Inc Stmt'!N61+'AL Inc Stmt'!N61+'ESL Inc Stmt'!N61</f>
        <v>0</v>
      </c>
      <c r="O61" s="22">
        <f>'CAC Inc Stmt'!O61+'AL Inc Stmt'!O61+'ESL Inc Stmt'!O61</f>
        <v>0</v>
      </c>
      <c r="P61" s="23">
        <f>'CAC Inc Stmt'!P61+'AL Inc Stmt'!P61+'ESL Inc Stmt'!P61</f>
        <v>0</v>
      </c>
      <c r="Q61" s="106">
        <f>'CAC Inc Stmt'!Q61+'AL Inc Stmt'!Q61+'ESL Inc Stmt'!Q61</f>
        <v>385</v>
      </c>
      <c r="R61" s="41">
        <f t="shared" si="12"/>
        <v>-385</v>
      </c>
      <c r="S61" s="278">
        <f t="shared" si="13"/>
        <v>0</v>
      </c>
      <c r="T61" s="74">
        <f t="shared" si="14"/>
        <v>-354</v>
      </c>
      <c r="U61" s="275">
        <f t="shared" si="15"/>
        <v>0</v>
      </c>
    </row>
    <row r="62" spans="2:21" outlineLevel="1" x14ac:dyDescent="0.3">
      <c r="B62" t="s">
        <v>91</v>
      </c>
      <c r="F62" s="14">
        <v>8231</v>
      </c>
      <c r="G62" s="24">
        <f>'CAC Inc Stmt'!G62+'AL Inc Stmt'!G62+'ESL Inc Stmt'!G62</f>
        <v>6165</v>
      </c>
      <c r="H62" s="22">
        <f>'CAC Inc Stmt'!H62+'AL Inc Stmt'!H62+'ESL Inc Stmt'!H62</f>
        <v>0</v>
      </c>
      <c r="I62" s="22">
        <f>'CAC Inc Stmt'!I62+'AL Inc Stmt'!I62+'ESL Inc Stmt'!I62</f>
        <v>0</v>
      </c>
      <c r="J62" s="22">
        <f>'CAC Inc Stmt'!J62+'AL Inc Stmt'!J62+'ESL Inc Stmt'!J62</f>
        <v>6022.06</v>
      </c>
      <c r="K62" s="22">
        <f>'CAC Inc Stmt'!K62+'AL Inc Stmt'!K62+'ESL Inc Stmt'!K62</f>
        <v>6549</v>
      </c>
      <c r="L62" s="42">
        <f>'CAC Inc Stmt'!L62+'AL Inc Stmt'!L62+'ESL Inc Stmt'!L62</f>
        <v>0</v>
      </c>
      <c r="M62" s="22">
        <f>'CAC Inc Stmt'!M62+'AL Inc Stmt'!M62+'ESL Inc Stmt'!M62</f>
        <v>0</v>
      </c>
      <c r="N62" s="22">
        <f>'CAC Inc Stmt'!N62+'AL Inc Stmt'!N62+'ESL Inc Stmt'!N62</f>
        <v>6022.06</v>
      </c>
      <c r="O62" s="22">
        <f>'CAC Inc Stmt'!O62+'AL Inc Stmt'!O62+'ESL Inc Stmt'!O62</f>
        <v>526.9399999999996</v>
      </c>
      <c r="P62" s="23">
        <f>'CAC Inc Stmt'!P62+'AL Inc Stmt'!P62+'ESL Inc Stmt'!P62</f>
        <v>6549</v>
      </c>
      <c r="Q62" s="106">
        <f>'CAC Inc Stmt'!Q62+'AL Inc Stmt'!Q62+'ESL Inc Stmt'!Q62</f>
        <v>6300</v>
      </c>
      <c r="R62" s="41">
        <f t="shared" si="12"/>
        <v>249</v>
      </c>
      <c r="S62" s="278">
        <f t="shared" si="13"/>
        <v>1.0395238095238095</v>
      </c>
      <c r="T62" s="74">
        <f t="shared" si="14"/>
        <v>384</v>
      </c>
      <c r="U62" s="275">
        <f t="shared" si="15"/>
        <v>1.062287104622871</v>
      </c>
    </row>
    <row r="63" spans="2:21" outlineLevel="1" x14ac:dyDescent="0.3">
      <c r="B63" t="s">
        <v>11</v>
      </c>
      <c r="F63" s="14"/>
      <c r="G63" s="24">
        <f>'CAC Inc Stmt'!G63+'AL Inc Stmt'!G63+'ESL Inc Stmt'!G63</f>
        <v>321.7</v>
      </c>
      <c r="H63" s="22">
        <f>'CAC Inc Stmt'!H63+'AL Inc Stmt'!H63+'ESL Inc Stmt'!H63</f>
        <v>0</v>
      </c>
      <c r="I63" s="22">
        <f>'CAC Inc Stmt'!I63+'AL Inc Stmt'!I63+'ESL Inc Stmt'!I63</f>
        <v>769</v>
      </c>
      <c r="J63" s="22">
        <f>'CAC Inc Stmt'!J63+'AL Inc Stmt'!J63+'ESL Inc Stmt'!J63</f>
        <v>1001</v>
      </c>
      <c r="K63" s="22">
        <f>'CAC Inc Stmt'!K63+'AL Inc Stmt'!K63+'ESL Inc Stmt'!K63</f>
        <v>1793.26</v>
      </c>
      <c r="L63" s="42">
        <f>'CAC Inc Stmt'!L63+'AL Inc Stmt'!L63+'ESL Inc Stmt'!L63</f>
        <v>0</v>
      </c>
      <c r="M63" s="22">
        <f>'CAC Inc Stmt'!M63+'AL Inc Stmt'!M63+'ESL Inc Stmt'!M63</f>
        <v>769</v>
      </c>
      <c r="N63" s="22">
        <f>'CAC Inc Stmt'!N63+'AL Inc Stmt'!N63+'ESL Inc Stmt'!N63</f>
        <v>232</v>
      </c>
      <c r="O63" s="22">
        <f>'CAC Inc Stmt'!O63+'AL Inc Stmt'!O63+'ESL Inc Stmt'!O63</f>
        <v>792.26</v>
      </c>
      <c r="P63" s="23">
        <f>'CAC Inc Stmt'!P63+'AL Inc Stmt'!P63+'ESL Inc Stmt'!P63</f>
        <v>1793.26</v>
      </c>
      <c r="Q63" s="106">
        <f>'CAC Inc Stmt'!Q63+'AL Inc Stmt'!Q63+'ESL Inc Stmt'!Q63</f>
        <v>1000</v>
      </c>
      <c r="R63" s="41">
        <f t="shared" si="12"/>
        <v>793.26</v>
      </c>
      <c r="S63" s="278">
        <f t="shared" si="13"/>
        <v>1.7932600000000001</v>
      </c>
      <c r="T63" s="74">
        <f t="shared" si="14"/>
        <v>1471.56</v>
      </c>
      <c r="U63" s="275">
        <f t="shared" si="15"/>
        <v>5.5743239042586259</v>
      </c>
    </row>
    <row r="64" spans="2:21" outlineLevel="1" x14ac:dyDescent="0.3">
      <c r="B64" t="s">
        <v>12</v>
      </c>
      <c r="F64" s="14"/>
      <c r="G64" s="24">
        <f>'CAC Inc Stmt'!G64+'AL Inc Stmt'!G64+'ESL Inc Stmt'!G64</f>
        <v>104</v>
      </c>
      <c r="H64" s="22">
        <f>'CAC Inc Stmt'!H64+'AL Inc Stmt'!H64+'ESL Inc Stmt'!H64</f>
        <v>50</v>
      </c>
      <c r="I64" s="22">
        <f>'CAC Inc Stmt'!I64+'AL Inc Stmt'!I64+'ESL Inc Stmt'!I64</f>
        <v>640</v>
      </c>
      <c r="J64" s="22">
        <f>'CAC Inc Stmt'!J64+'AL Inc Stmt'!J64+'ESL Inc Stmt'!J64</f>
        <v>640</v>
      </c>
      <c r="K64" s="22">
        <f>'CAC Inc Stmt'!K64+'AL Inc Stmt'!K64+'ESL Inc Stmt'!K64</f>
        <v>640</v>
      </c>
      <c r="L64" s="42">
        <f>'CAC Inc Stmt'!L64+'AL Inc Stmt'!L64+'ESL Inc Stmt'!L64</f>
        <v>50</v>
      </c>
      <c r="M64" s="22">
        <f>'CAC Inc Stmt'!M64+'AL Inc Stmt'!M64+'ESL Inc Stmt'!M64</f>
        <v>590</v>
      </c>
      <c r="N64" s="22">
        <f>'CAC Inc Stmt'!N64+'AL Inc Stmt'!N64+'ESL Inc Stmt'!N64</f>
        <v>0</v>
      </c>
      <c r="O64" s="22">
        <f>'CAC Inc Stmt'!O64+'AL Inc Stmt'!O64+'ESL Inc Stmt'!O64</f>
        <v>0</v>
      </c>
      <c r="P64" s="23">
        <f>'CAC Inc Stmt'!P64+'AL Inc Stmt'!P64+'ESL Inc Stmt'!P64</f>
        <v>640</v>
      </c>
      <c r="Q64" s="106">
        <f>'CAC Inc Stmt'!Q64+'AL Inc Stmt'!Q64+'ESL Inc Stmt'!Q64</f>
        <v>600</v>
      </c>
      <c r="R64" s="41">
        <f t="shared" si="12"/>
        <v>40</v>
      </c>
      <c r="S64" s="278">
        <f t="shared" si="13"/>
        <v>1.0666666666666667</v>
      </c>
      <c r="T64" s="74">
        <f t="shared" si="14"/>
        <v>536</v>
      </c>
      <c r="U64" s="275">
        <f t="shared" si="15"/>
        <v>6.1538461538461542</v>
      </c>
    </row>
    <row r="65" spans="1:21" outlineLevel="1" x14ac:dyDescent="0.3">
      <c r="B65" t="s">
        <v>94</v>
      </c>
      <c r="F65" s="14">
        <v>8232</v>
      </c>
      <c r="G65" s="24">
        <f>'CAC Inc Stmt'!G65+'AL Inc Stmt'!G65+'ESL Inc Stmt'!G65</f>
        <v>2414</v>
      </c>
      <c r="H65" s="22">
        <f>'CAC Inc Stmt'!H65+'AL Inc Stmt'!H65+'ESL Inc Stmt'!H65</f>
        <v>0</v>
      </c>
      <c r="I65" s="22">
        <f>'CAC Inc Stmt'!I65+'AL Inc Stmt'!I65+'ESL Inc Stmt'!I65</f>
        <v>0</v>
      </c>
      <c r="J65" s="22">
        <f>'CAC Inc Stmt'!J65+'AL Inc Stmt'!J65+'ESL Inc Stmt'!J65</f>
        <v>0</v>
      </c>
      <c r="K65" s="22">
        <f>'CAC Inc Stmt'!K65+'AL Inc Stmt'!K65+'ESL Inc Stmt'!K65</f>
        <v>2453</v>
      </c>
      <c r="L65" s="42">
        <f>'CAC Inc Stmt'!L65+'AL Inc Stmt'!L65+'ESL Inc Stmt'!L65</f>
        <v>0</v>
      </c>
      <c r="M65" s="22">
        <f>'CAC Inc Stmt'!M65+'AL Inc Stmt'!M65+'ESL Inc Stmt'!M65</f>
        <v>0</v>
      </c>
      <c r="N65" s="22">
        <f>'CAC Inc Stmt'!N65+'AL Inc Stmt'!N65+'ESL Inc Stmt'!N65</f>
        <v>0</v>
      </c>
      <c r="O65" s="22">
        <f>'CAC Inc Stmt'!O65+'AL Inc Stmt'!O65+'ESL Inc Stmt'!O65</f>
        <v>2453</v>
      </c>
      <c r="P65" s="23">
        <f>'CAC Inc Stmt'!P65+'AL Inc Stmt'!P65+'ESL Inc Stmt'!P65</f>
        <v>2453</v>
      </c>
      <c r="Q65" s="106">
        <f>'CAC Inc Stmt'!Q65+'AL Inc Stmt'!Q65+'ESL Inc Stmt'!Q65</f>
        <v>2425</v>
      </c>
      <c r="R65" s="41">
        <f t="shared" si="12"/>
        <v>28</v>
      </c>
      <c r="S65" s="278">
        <f t="shared" si="13"/>
        <v>1.0115463917525773</v>
      </c>
      <c r="T65" s="74">
        <f t="shared" si="14"/>
        <v>39</v>
      </c>
      <c r="U65" s="275">
        <f t="shared" si="15"/>
        <v>1.0161557580778791</v>
      </c>
    </row>
    <row r="66" spans="1:21" outlineLevel="1" x14ac:dyDescent="0.3">
      <c r="B66" t="s">
        <v>97</v>
      </c>
      <c r="F66" s="14"/>
      <c r="G66" s="24">
        <f>'CAC Inc Stmt'!G66+'AL Inc Stmt'!G66+'ESL Inc Stmt'!G66</f>
        <v>925</v>
      </c>
      <c r="H66" s="22">
        <f>'CAC Inc Stmt'!H66+'AL Inc Stmt'!H66+'ESL Inc Stmt'!H66</f>
        <v>0</v>
      </c>
      <c r="I66" s="22">
        <f>'CAC Inc Stmt'!I66+'AL Inc Stmt'!I66+'ESL Inc Stmt'!I66</f>
        <v>937.5</v>
      </c>
      <c r="J66" s="22">
        <f>'CAC Inc Stmt'!J66+'AL Inc Stmt'!J66+'ESL Inc Stmt'!J66</f>
        <v>937.5</v>
      </c>
      <c r="K66" s="22">
        <f>'CAC Inc Stmt'!K66+'AL Inc Stmt'!K66+'ESL Inc Stmt'!K66</f>
        <v>937.5</v>
      </c>
      <c r="L66" s="42">
        <f>'CAC Inc Stmt'!L66+'AL Inc Stmt'!L66+'ESL Inc Stmt'!L66</f>
        <v>0</v>
      </c>
      <c r="M66" s="22">
        <f>'CAC Inc Stmt'!M66+'AL Inc Stmt'!M66+'ESL Inc Stmt'!M66</f>
        <v>937.5</v>
      </c>
      <c r="N66" s="22">
        <f>'CAC Inc Stmt'!N66+'AL Inc Stmt'!N66+'ESL Inc Stmt'!N66</f>
        <v>0</v>
      </c>
      <c r="O66" s="22">
        <f>'CAC Inc Stmt'!O66+'AL Inc Stmt'!O66+'ESL Inc Stmt'!O66</f>
        <v>0</v>
      </c>
      <c r="P66" s="23">
        <f>'CAC Inc Stmt'!P66+'AL Inc Stmt'!P66+'ESL Inc Stmt'!P66</f>
        <v>937.5</v>
      </c>
      <c r="Q66" s="106">
        <f>'CAC Inc Stmt'!Q66+'AL Inc Stmt'!Q66+'ESL Inc Stmt'!Q66</f>
        <v>1000</v>
      </c>
      <c r="R66" s="41">
        <f t="shared" si="12"/>
        <v>-62.5</v>
      </c>
      <c r="S66" s="278">
        <f t="shared" si="13"/>
        <v>0.9375</v>
      </c>
      <c r="T66" s="74">
        <f t="shared" si="14"/>
        <v>12.5</v>
      </c>
      <c r="U66" s="275">
        <f t="shared" si="15"/>
        <v>1.0135135135135136</v>
      </c>
    </row>
    <row r="67" spans="1:21" outlineLevel="1" x14ac:dyDescent="0.3">
      <c r="B67" t="s">
        <v>104</v>
      </c>
      <c r="F67" s="14"/>
      <c r="G67" s="24">
        <f>'CAC Inc Stmt'!G67+'AL Inc Stmt'!G67+'ESL Inc Stmt'!G67</f>
        <v>0</v>
      </c>
      <c r="H67" s="22">
        <f>'CAC Inc Stmt'!H67+'AL Inc Stmt'!H67+'ESL Inc Stmt'!H67</f>
        <v>110</v>
      </c>
      <c r="I67" s="22">
        <f>'CAC Inc Stmt'!I67+'AL Inc Stmt'!I67+'ESL Inc Stmt'!I67</f>
        <v>110</v>
      </c>
      <c r="J67" s="22">
        <f>'CAC Inc Stmt'!J67+'AL Inc Stmt'!J67+'ESL Inc Stmt'!J67</f>
        <v>110</v>
      </c>
      <c r="K67" s="22">
        <f>'CAC Inc Stmt'!K67+'AL Inc Stmt'!K67+'ESL Inc Stmt'!K67</f>
        <v>110</v>
      </c>
      <c r="L67" s="42">
        <f>'CAC Inc Stmt'!L67+'AL Inc Stmt'!L67+'ESL Inc Stmt'!L67</f>
        <v>110</v>
      </c>
      <c r="M67" s="22">
        <f>'CAC Inc Stmt'!M67+'AL Inc Stmt'!M67+'ESL Inc Stmt'!M67</f>
        <v>0</v>
      </c>
      <c r="N67" s="22">
        <f>'CAC Inc Stmt'!N67+'AL Inc Stmt'!N67+'ESL Inc Stmt'!N67</f>
        <v>0</v>
      </c>
      <c r="O67" s="22">
        <f>'CAC Inc Stmt'!O67+'AL Inc Stmt'!O67+'ESL Inc Stmt'!O67</f>
        <v>0</v>
      </c>
      <c r="P67" s="23">
        <f>'CAC Inc Stmt'!P67+'AL Inc Stmt'!P67+'ESL Inc Stmt'!P67</f>
        <v>110</v>
      </c>
      <c r="Q67" s="106">
        <f>'CAC Inc Stmt'!Q67+'AL Inc Stmt'!Q67+'ESL Inc Stmt'!Q67</f>
        <v>100</v>
      </c>
      <c r="R67" s="41">
        <f t="shared" si="12"/>
        <v>10</v>
      </c>
      <c r="S67" s="278">
        <f t="shared" si="13"/>
        <v>1.1000000000000001</v>
      </c>
      <c r="T67" s="74">
        <f t="shared" si="14"/>
        <v>110</v>
      </c>
      <c r="U67" s="275" t="str">
        <f t="shared" si="15"/>
        <v/>
      </c>
    </row>
    <row r="68" spans="1:21" outlineLevel="1" x14ac:dyDescent="0.3">
      <c r="B68" t="s">
        <v>99</v>
      </c>
      <c r="F68" s="14"/>
      <c r="G68" s="24">
        <f>'CAC Inc Stmt'!G68+'AL Inc Stmt'!G68+'ESL Inc Stmt'!G68</f>
        <v>1499.65</v>
      </c>
      <c r="H68" s="22">
        <f>'CAC Inc Stmt'!H68+'AL Inc Stmt'!H68+'ESL Inc Stmt'!H68</f>
        <v>419.86</v>
      </c>
      <c r="I68" s="22">
        <f>'CAC Inc Stmt'!I68+'AL Inc Stmt'!I68+'ESL Inc Stmt'!I68</f>
        <v>697.24</v>
      </c>
      <c r="J68" s="22">
        <f>'CAC Inc Stmt'!J68+'AL Inc Stmt'!J68+'ESL Inc Stmt'!J68</f>
        <v>1269.99</v>
      </c>
      <c r="K68" s="22">
        <f>'CAC Inc Stmt'!K68+'AL Inc Stmt'!K68+'ESL Inc Stmt'!K68</f>
        <v>1533.78</v>
      </c>
      <c r="L68" s="42">
        <f>'CAC Inc Stmt'!L68+'AL Inc Stmt'!L68+'ESL Inc Stmt'!L68</f>
        <v>419.86</v>
      </c>
      <c r="M68" s="22">
        <f>'CAC Inc Stmt'!M68+'AL Inc Stmt'!M68+'ESL Inc Stmt'!M68</f>
        <v>277.38</v>
      </c>
      <c r="N68" s="22">
        <f>'CAC Inc Stmt'!N68+'AL Inc Stmt'!N68+'ESL Inc Stmt'!N68</f>
        <v>572.75</v>
      </c>
      <c r="O68" s="22">
        <f>'CAC Inc Stmt'!O68+'AL Inc Stmt'!O68+'ESL Inc Stmt'!O68</f>
        <v>263.78999999999996</v>
      </c>
      <c r="P68" s="23">
        <f>'CAC Inc Stmt'!P68+'AL Inc Stmt'!P68+'ESL Inc Stmt'!P68</f>
        <v>1533.78</v>
      </c>
      <c r="Q68" s="106">
        <f>'CAC Inc Stmt'!Q68+'AL Inc Stmt'!Q68+'ESL Inc Stmt'!Q68</f>
        <v>1322</v>
      </c>
      <c r="R68" s="41">
        <f t="shared" si="12"/>
        <v>211.77999999999997</v>
      </c>
      <c r="S68" s="278">
        <f t="shared" si="13"/>
        <v>1.1601966717095309</v>
      </c>
      <c r="T68" s="74">
        <f t="shared" si="14"/>
        <v>34.129999999999882</v>
      </c>
      <c r="U68" s="275">
        <f t="shared" si="15"/>
        <v>1.0227586436835261</v>
      </c>
    </row>
    <row r="69" spans="1:21" outlineLevel="1" x14ac:dyDescent="0.3">
      <c r="B69" t="s">
        <v>100</v>
      </c>
      <c r="F69" s="14"/>
      <c r="G69" s="24">
        <f>'CAC Inc Stmt'!G69+'AL Inc Stmt'!G69+'ESL Inc Stmt'!G69</f>
        <v>6299</v>
      </c>
      <c r="H69" s="22">
        <f>'CAC Inc Stmt'!H69+'AL Inc Stmt'!H69+'ESL Inc Stmt'!H69</f>
        <v>0</v>
      </c>
      <c r="I69" s="22">
        <f>'CAC Inc Stmt'!I69+'AL Inc Stmt'!I69+'ESL Inc Stmt'!I69</f>
        <v>2818.23</v>
      </c>
      <c r="J69" s="22">
        <f>'CAC Inc Stmt'!J69+'AL Inc Stmt'!J69+'ESL Inc Stmt'!J69</f>
        <v>3911.47</v>
      </c>
      <c r="K69" s="22">
        <f>'CAC Inc Stmt'!K69+'AL Inc Stmt'!K69+'ESL Inc Stmt'!K69</f>
        <v>5658.02</v>
      </c>
      <c r="L69" s="42">
        <f>'CAC Inc Stmt'!L69+'AL Inc Stmt'!L69+'ESL Inc Stmt'!L69</f>
        <v>0</v>
      </c>
      <c r="M69" s="22">
        <f>'CAC Inc Stmt'!M69+'AL Inc Stmt'!M69+'ESL Inc Stmt'!M69</f>
        <v>2818.23</v>
      </c>
      <c r="N69" s="22">
        <f>'CAC Inc Stmt'!N69+'AL Inc Stmt'!N69+'ESL Inc Stmt'!N69</f>
        <v>1093.2399999999998</v>
      </c>
      <c r="O69" s="22">
        <f>'CAC Inc Stmt'!O69+'AL Inc Stmt'!O69+'ESL Inc Stmt'!O69</f>
        <v>1746.5500000000006</v>
      </c>
      <c r="P69" s="23">
        <f>'CAC Inc Stmt'!P69+'AL Inc Stmt'!P69+'ESL Inc Stmt'!P69</f>
        <v>5658.02</v>
      </c>
      <c r="Q69" s="106">
        <f>'CAC Inc Stmt'!Q69+'AL Inc Stmt'!Q69+'ESL Inc Stmt'!Q69</f>
        <v>7000</v>
      </c>
      <c r="R69" s="41">
        <f t="shared" si="12"/>
        <v>-1341.9799999999996</v>
      </c>
      <c r="S69" s="278">
        <f t="shared" si="13"/>
        <v>0.80828857142857147</v>
      </c>
      <c r="T69" s="74">
        <f t="shared" si="14"/>
        <v>-640.97999999999956</v>
      </c>
      <c r="U69" s="275">
        <f t="shared" si="15"/>
        <v>0.89824099063343399</v>
      </c>
    </row>
    <row r="70" spans="1:21" outlineLevel="1" x14ac:dyDescent="0.3">
      <c r="B70" t="s">
        <v>101</v>
      </c>
      <c r="F70" s="14"/>
      <c r="G70" s="24">
        <f>'CAC Inc Stmt'!G70+'AL Inc Stmt'!G70+'ESL Inc Stmt'!G70</f>
        <v>2950.42</v>
      </c>
      <c r="H70" s="22">
        <f>'CAC Inc Stmt'!H70+'AL Inc Stmt'!H70+'ESL Inc Stmt'!H70</f>
        <v>1217.42</v>
      </c>
      <c r="I70" s="22">
        <f>'CAC Inc Stmt'!I70+'AL Inc Stmt'!I70+'ESL Inc Stmt'!I70</f>
        <v>1944.36</v>
      </c>
      <c r="J70" s="22">
        <f>'CAC Inc Stmt'!J70+'AL Inc Stmt'!J70+'ESL Inc Stmt'!J70</f>
        <v>2986.99</v>
      </c>
      <c r="K70" s="22">
        <f>'CAC Inc Stmt'!K70+'AL Inc Stmt'!K70+'ESL Inc Stmt'!K70</f>
        <v>3688.89</v>
      </c>
      <c r="L70" s="42">
        <f>'CAC Inc Stmt'!L70+'AL Inc Stmt'!L70+'ESL Inc Stmt'!L70</f>
        <v>1217.42</v>
      </c>
      <c r="M70" s="22">
        <f>'CAC Inc Stmt'!M70+'AL Inc Stmt'!M70+'ESL Inc Stmt'!M70</f>
        <v>726.93999999999983</v>
      </c>
      <c r="N70" s="22">
        <f>'CAC Inc Stmt'!N70+'AL Inc Stmt'!N70+'ESL Inc Stmt'!N70</f>
        <v>1042.6299999999999</v>
      </c>
      <c r="O70" s="22">
        <f>'CAC Inc Stmt'!O70+'AL Inc Stmt'!O70+'ESL Inc Stmt'!O70</f>
        <v>701.90000000000009</v>
      </c>
      <c r="P70" s="23">
        <f>'CAC Inc Stmt'!P70+'AL Inc Stmt'!P70+'ESL Inc Stmt'!P70</f>
        <v>3688.89</v>
      </c>
      <c r="Q70" s="106">
        <f>'CAC Inc Stmt'!Q70+'AL Inc Stmt'!Q70+'ESL Inc Stmt'!Q70</f>
        <v>3000</v>
      </c>
      <c r="R70" s="41">
        <f t="shared" si="12"/>
        <v>688.88999999999987</v>
      </c>
      <c r="S70" s="278">
        <f t="shared" si="13"/>
        <v>1.22963</v>
      </c>
      <c r="T70" s="74">
        <f t="shared" si="14"/>
        <v>738.4699999999998</v>
      </c>
      <c r="U70" s="275">
        <f t="shared" si="15"/>
        <v>1.2502931785983011</v>
      </c>
    </row>
    <row r="71" spans="1:21" outlineLevel="1" x14ac:dyDescent="0.3">
      <c r="B71" t="s">
        <v>420</v>
      </c>
      <c r="F71" s="14"/>
      <c r="G71" s="24">
        <f>'CAC Inc Stmt'!G71+'AL Inc Stmt'!G71+'ESL Inc Stmt'!G71</f>
        <v>0</v>
      </c>
      <c r="H71" s="22">
        <f>'CAC Inc Stmt'!H71+'AL Inc Stmt'!H71+'ESL Inc Stmt'!H71</f>
        <v>0</v>
      </c>
      <c r="I71" s="22">
        <f>'CAC Inc Stmt'!I71+'AL Inc Stmt'!I71+'ESL Inc Stmt'!I71</f>
        <v>0</v>
      </c>
      <c r="J71" s="22">
        <f>'CAC Inc Stmt'!J71+'AL Inc Stmt'!J71+'ESL Inc Stmt'!J71</f>
        <v>0</v>
      </c>
      <c r="K71" s="22">
        <f>'CAC Inc Stmt'!K71+'AL Inc Stmt'!K71+'ESL Inc Stmt'!K71</f>
        <v>0</v>
      </c>
      <c r="L71" s="42">
        <f>'CAC Inc Stmt'!L71+'AL Inc Stmt'!L71+'ESL Inc Stmt'!L71</f>
        <v>0</v>
      </c>
      <c r="M71" s="22">
        <f>'CAC Inc Stmt'!M71+'AL Inc Stmt'!M71+'ESL Inc Stmt'!M71</f>
        <v>0</v>
      </c>
      <c r="N71" s="22">
        <f>'CAC Inc Stmt'!N71+'AL Inc Stmt'!N71+'ESL Inc Stmt'!N71</f>
        <v>0</v>
      </c>
      <c r="O71" s="22">
        <f>'CAC Inc Stmt'!O71+'AL Inc Stmt'!O71+'ESL Inc Stmt'!O71</f>
        <v>0</v>
      </c>
      <c r="P71" s="23">
        <f>'CAC Inc Stmt'!P71+'AL Inc Stmt'!P71+'ESL Inc Stmt'!P71</f>
        <v>0</v>
      </c>
      <c r="Q71" s="106">
        <f>'CAC Inc Stmt'!Q71+'AL Inc Stmt'!Q71+'ESL Inc Stmt'!Q71</f>
        <v>0</v>
      </c>
      <c r="R71" s="41">
        <f>P71-Q71</f>
        <v>0</v>
      </c>
      <c r="S71" s="278" t="str">
        <f t="shared" si="13"/>
        <v/>
      </c>
      <c r="T71" s="74">
        <f>P71-G71</f>
        <v>0</v>
      </c>
      <c r="U71" s="275" t="str">
        <f t="shared" si="15"/>
        <v/>
      </c>
    </row>
    <row r="72" spans="1:21" outlineLevel="1" x14ac:dyDescent="0.3">
      <c r="B72" t="s">
        <v>96</v>
      </c>
      <c r="F72" s="14" t="s">
        <v>213</v>
      </c>
      <c r="G72" s="24">
        <f>'CAC Inc Stmt'!G72+'AL Inc Stmt'!G72+'ESL Inc Stmt'!G72</f>
        <v>1301.99</v>
      </c>
      <c r="H72" s="22">
        <f>'CAC Inc Stmt'!H72+'AL Inc Stmt'!H72+'ESL Inc Stmt'!H72</f>
        <v>0</v>
      </c>
      <c r="I72" s="22">
        <f>'CAC Inc Stmt'!I72+'AL Inc Stmt'!I72+'ESL Inc Stmt'!I72</f>
        <v>62</v>
      </c>
      <c r="J72" s="22">
        <f>'CAC Inc Stmt'!J72+'AL Inc Stmt'!J72+'ESL Inc Stmt'!J72</f>
        <v>1338</v>
      </c>
      <c r="K72" s="22">
        <f>'CAC Inc Stmt'!K72+'AL Inc Stmt'!K72+'ESL Inc Stmt'!K72</f>
        <v>1377</v>
      </c>
      <c r="L72" s="42">
        <f>'CAC Inc Stmt'!L72+'AL Inc Stmt'!L72+'ESL Inc Stmt'!L72</f>
        <v>0</v>
      </c>
      <c r="M72" s="22">
        <f>'CAC Inc Stmt'!M72+'AL Inc Stmt'!M72+'ESL Inc Stmt'!M72</f>
        <v>62</v>
      </c>
      <c r="N72" s="22">
        <f>'CAC Inc Stmt'!N72+'AL Inc Stmt'!N72+'ESL Inc Stmt'!N72</f>
        <v>1276</v>
      </c>
      <c r="O72" s="22">
        <f>'CAC Inc Stmt'!O72+'AL Inc Stmt'!O72+'ESL Inc Stmt'!O72</f>
        <v>39</v>
      </c>
      <c r="P72" s="23">
        <f>'CAC Inc Stmt'!P72+'AL Inc Stmt'!P72+'ESL Inc Stmt'!P72</f>
        <v>1377</v>
      </c>
      <c r="Q72" s="106">
        <f>'CAC Inc Stmt'!Q72+'AL Inc Stmt'!Q72+'ESL Inc Stmt'!Q72</f>
        <v>804</v>
      </c>
      <c r="R72" s="41">
        <f t="shared" si="12"/>
        <v>573</v>
      </c>
      <c r="S72" s="278">
        <f t="shared" si="13"/>
        <v>1.7126865671641791</v>
      </c>
      <c r="T72" s="74">
        <f t="shared" si="14"/>
        <v>75.009999999999991</v>
      </c>
      <c r="U72" s="275">
        <f t="shared" si="15"/>
        <v>1.0576118096145131</v>
      </c>
    </row>
    <row r="73" spans="1:21" outlineLevel="1" x14ac:dyDescent="0.3">
      <c r="F73" s="14"/>
      <c r="G73" s="24">
        <f>'CAC Inc Stmt'!G73+'AL Inc Stmt'!G73+'ESL Inc Stmt'!G73</f>
        <v>0</v>
      </c>
      <c r="H73" s="22">
        <f>'CAC Inc Stmt'!H73+'AL Inc Stmt'!H73+'ESL Inc Stmt'!H73</f>
        <v>0</v>
      </c>
      <c r="I73" s="22">
        <f>'CAC Inc Stmt'!I73+'AL Inc Stmt'!I73+'ESL Inc Stmt'!I73</f>
        <v>0</v>
      </c>
      <c r="J73" s="22">
        <f>'CAC Inc Stmt'!J73+'AL Inc Stmt'!J73+'ESL Inc Stmt'!J73</f>
        <v>0</v>
      </c>
      <c r="K73" s="22">
        <f>'CAC Inc Stmt'!K73+'AL Inc Stmt'!K73+'ESL Inc Stmt'!K73</f>
        <v>0</v>
      </c>
      <c r="L73" s="42">
        <f>'CAC Inc Stmt'!L73+'AL Inc Stmt'!L73+'ESL Inc Stmt'!L73</f>
        <v>0</v>
      </c>
      <c r="M73" s="22">
        <f>'CAC Inc Stmt'!M73+'AL Inc Stmt'!M73+'ESL Inc Stmt'!M73</f>
        <v>0</v>
      </c>
      <c r="N73" s="22">
        <f>'CAC Inc Stmt'!N73+'AL Inc Stmt'!N73+'ESL Inc Stmt'!N73</f>
        <v>0</v>
      </c>
      <c r="O73" s="22">
        <f>'CAC Inc Stmt'!O73+'AL Inc Stmt'!O73+'ESL Inc Stmt'!O73</f>
        <v>0</v>
      </c>
      <c r="P73" s="23">
        <f>'CAC Inc Stmt'!P73+'AL Inc Stmt'!P73+'ESL Inc Stmt'!P73</f>
        <v>0</v>
      </c>
      <c r="Q73" s="81">
        <f>'CAC Inc Stmt'!Q73+'AL Inc Stmt'!Q73+'ESL Inc Stmt'!Q73</f>
        <v>0</v>
      </c>
      <c r="R73" s="41">
        <f t="shared" si="12"/>
        <v>0</v>
      </c>
      <c r="S73" s="278" t="str">
        <f t="shared" si="13"/>
        <v/>
      </c>
      <c r="T73" s="74">
        <f t="shared" si="14"/>
        <v>0</v>
      </c>
      <c r="U73" s="275" t="str">
        <f t="shared" si="15"/>
        <v/>
      </c>
    </row>
    <row r="74" spans="1:21" outlineLevel="1" x14ac:dyDescent="0.3">
      <c r="F74" s="14"/>
      <c r="G74" s="24">
        <f>'CAC Inc Stmt'!G74+'AL Inc Stmt'!G74+'ESL Inc Stmt'!G74</f>
        <v>0</v>
      </c>
      <c r="H74" s="22">
        <f>'CAC Inc Stmt'!H74+'AL Inc Stmt'!H74+'ESL Inc Stmt'!H74</f>
        <v>0</v>
      </c>
      <c r="I74" s="22">
        <f>'CAC Inc Stmt'!I74+'AL Inc Stmt'!I74+'ESL Inc Stmt'!I74</f>
        <v>0</v>
      </c>
      <c r="J74" s="22">
        <f>'CAC Inc Stmt'!J74+'AL Inc Stmt'!J74+'ESL Inc Stmt'!J74</f>
        <v>0</v>
      </c>
      <c r="K74" s="22">
        <f>'CAC Inc Stmt'!K74+'AL Inc Stmt'!K74+'ESL Inc Stmt'!K74</f>
        <v>0</v>
      </c>
      <c r="L74" s="42">
        <f>'CAC Inc Stmt'!L74+'AL Inc Stmt'!L74+'ESL Inc Stmt'!L74</f>
        <v>0</v>
      </c>
      <c r="M74" s="22">
        <f>'CAC Inc Stmt'!M74+'AL Inc Stmt'!M74+'ESL Inc Stmt'!M74</f>
        <v>0</v>
      </c>
      <c r="N74" s="22">
        <f>'CAC Inc Stmt'!N74+'AL Inc Stmt'!N74+'ESL Inc Stmt'!N74</f>
        <v>0</v>
      </c>
      <c r="O74" s="22">
        <f>'CAC Inc Stmt'!O74+'AL Inc Stmt'!O74+'ESL Inc Stmt'!O74</f>
        <v>0</v>
      </c>
      <c r="P74" s="23">
        <f>'CAC Inc Stmt'!P74+'AL Inc Stmt'!P74+'ESL Inc Stmt'!P74</f>
        <v>0</v>
      </c>
      <c r="Q74" s="81">
        <f>'CAC Inc Stmt'!Q74+'AL Inc Stmt'!Q74+'ESL Inc Stmt'!Q74</f>
        <v>0</v>
      </c>
      <c r="R74" s="41">
        <f t="shared" si="12"/>
        <v>0</v>
      </c>
      <c r="S74" s="278" t="str">
        <f t="shared" si="13"/>
        <v/>
      </c>
      <c r="T74" s="74">
        <f t="shared" si="14"/>
        <v>0</v>
      </c>
      <c r="U74" s="275" t="str">
        <f t="shared" si="15"/>
        <v/>
      </c>
    </row>
    <row r="75" spans="1:21" outlineLevel="1" x14ac:dyDescent="0.3">
      <c r="F75" s="14"/>
      <c r="G75" s="24"/>
      <c r="H75" s="22"/>
      <c r="I75" s="22"/>
      <c r="J75" s="22"/>
      <c r="K75" s="22"/>
      <c r="L75" s="42"/>
      <c r="M75" s="22"/>
      <c r="N75" s="22"/>
      <c r="O75" s="22"/>
      <c r="P75" s="23"/>
      <c r="Q75" s="81"/>
      <c r="R75" s="41"/>
      <c r="S75" s="278" t="str">
        <f t="shared" si="13"/>
        <v/>
      </c>
      <c r="T75" s="74"/>
      <c r="U75" s="275" t="str">
        <f t="shared" si="15"/>
        <v/>
      </c>
    </row>
    <row r="76" spans="1:21" x14ac:dyDescent="0.3">
      <c r="A76" s="1" t="s">
        <v>106</v>
      </c>
      <c r="F76" s="14"/>
      <c r="G76" s="52">
        <f>'CAC Inc Stmt'!G76+'AL Inc Stmt'!G76+'ESL Inc Stmt'!G76</f>
        <v>118545.5101</v>
      </c>
      <c r="H76" s="53">
        <f>'CAC Inc Stmt'!H76+'AL Inc Stmt'!H76+'ESL Inc Stmt'!H76</f>
        <v>35232.6</v>
      </c>
      <c r="I76" s="53">
        <f>'CAC Inc Stmt'!I76+'AL Inc Stmt'!I76+'ESL Inc Stmt'!I76</f>
        <v>73411.33</v>
      </c>
      <c r="J76" s="53">
        <f>'CAC Inc Stmt'!J76+'AL Inc Stmt'!J76+'ESL Inc Stmt'!J76</f>
        <v>94210.989999999991</v>
      </c>
      <c r="K76" s="53">
        <f>'CAC Inc Stmt'!K76+'AL Inc Stmt'!K76+'ESL Inc Stmt'!K76</f>
        <v>118684.64</v>
      </c>
      <c r="L76" s="54">
        <f>'CAC Inc Stmt'!L76+'AL Inc Stmt'!L76+'ESL Inc Stmt'!L76</f>
        <v>35232.6</v>
      </c>
      <c r="M76" s="53">
        <f>'CAC Inc Stmt'!M76+'AL Inc Stmt'!M76+'ESL Inc Stmt'!M76</f>
        <v>38178.729999999996</v>
      </c>
      <c r="N76" s="53">
        <f>'CAC Inc Stmt'!N76+'AL Inc Stmt'!N76+'ESL Inc Stmt'!N76</f>
        <v>20799.66</v>
      </c>
      <c r="O76" s="53">
        <f>'CAC Inc Stmt'!O76+'AL Inc Stmt'!O76+'ESL Inc Stmt'!O76</f>
        <v>24473.65</v>
      </c>
      <c r="P76" s="69">
        <f>'CAC Inc Stmt'!P76+'AL Inc Stmt'!P76+'ESL Inc Stmt'!P76</f>
        <v>118684.64</v>
      </c>
      <c r="Q76" s="83">
        <f>'CAC Inc Stmt'!Q76+'AL Inc Stmt'!Q76+'ESL Inc Stmt'!Q76</f>
        <v>114377.2</v>
      </c>
      <c r="R76" s="55">
        <f>SUM(R48:R75)</f>
        <v>4307.4399999999951</v>
      </c>
      <c r="S76" s="286">
        <f t="shared" si="13"/>
        <v>1.0376599532074575</v>
      </c>
      <c r="T76" s="76">
        <f>SUM(T48:T75)</f>
        <v>139.12989999999945</v>
      </c>
      <c r="U76" s="290">
        <f t="shared" si="15"/>
        <v>1.0011736412444692</v>
      </c>
    </row>
    <row r="77" spans="1:21" x14ac:dyDescent="0.3">
      <c r="F77" s="14"/>
      <c r="G77" s="24"/>
      <c r="H77" s="22"/>
      <c r="I77" s="22"/>
      <c r="J77" s="22"/>
      <c r="K77" s="22"/>
      <c r="L77" s="42"/>
      <c r="M77" s="22"/>
      <c r="N77" s="22"/>
      <c r="O77" s="22"/>
      <c r="P77" s="23"/>
      <c r="Q77" s="81"/>
      <c r="R77" s="41"/>
      <c r="S77" s="278"/>
      <c r="T77" s="74"/>
      <c r="U77" s="275"/>
    </row>
    <row r="78" spans="1:21" x14ac:dyDescent="0.3">
      <c r="A78" s="1" t="s">
        <v>107</v>
      </c>
      <c r="F78" s="14"/>
      <c r="G78" s="56">
        <f>'CAC Inc Stmt'!G78+'AL Inc Stmt'!G78+'ESL Inc Stmt'!G78</f>
        <v>62089.569900000002</v>
      </c>
      <c r="H78" s="57">
        <f>'CAC Inc Stmt'!H78+'AL Inc Stmt'!H78+'ESL Inc Stmt'!H78</f>
        <v>7820.9900000000025</v>
      </c>
      <c r="I78" s="57">
        <f>'CAC Inc Stmt'!I78+'AL Inc Stmt'!I78+'ESL Inc Stmt'!I78</f>
        <v>12086.620000000003</v>
      </c>
      <c r="J78" s="57">
        <f>'CAC Inc Stmt'!J78+'AL Inc Stmt'!J78+'ESL Inc Stmt'!J78</f>
        <v>21449.920000000002</v>
      </c>
      <c r="K78" s="57">
        <f>'CAC Inc Stmt'!K78+'AL Inc Stmt'!K78+'ESL Inc Stmt'!K78</f>
        <v>45066.14</v>
      </c>
      <c r="L78" s="58">
        <f>'CAC Inc Stmt'!L78+'AL Inc Stmt'!L78+'ESL Inc Stmt'!L78</f>
        <v>7820.9900000000025</v>
      </c>
      <c r="M78" s="57">
        <f>'CAC Inc Stmt'!M78+'AL Inc Stmt'!M78+'ESL Inc Stmt'!M78</f>
        <v>4265.6300000000037</v>
      </c>
      <c r="N78" s="57">
        <f>'CAC Inc Stmt'!N78+'AL Inc Stmt'!N78+'ESL Inc Stmt'!N78</f>
        <v>9363.2999999999993</v>
      </c>
      <c r="O78" s="57">
        <f>'CAC Inc Stmt'!O78+'AL Inc Stmt'!O78+'ESL Inc Stmt'!O78</f>
        <v>23616.219999999998</v>
      </c>
      <c r="P78" s="70">
        <f>'CAC Inc Stmt'!P78+'AL Inc Stmt'!P78+'ESL Inc Stmt'!P78</f>
        <v>45066.14</v>
      </c>
      <c r="Q78" s="84">
        <f>'CAC Inc Stmt'!Q78+'AL Inc Stmt'!Q78+'ESL Inc Stmt'!Q78</f>
        <v>65922.820000000007</v>
      </c>
      <c r="R78" s="59">
        <f>R45-R76</f>
        <v>-20856.679999999993</v>
      </c>
      <c r="S78" s="297">
        <f>IF(Q78=0,"",P78/Q78)</f>
        <v>0.68361972379215563</v>
      </c>
      <c r="T78" s="77">
        <f>T45-T76</f>
        <v>-17023.429900000003</v>
      </c>
      <c r="U78" s="299">
        <f>IF(G78=0,"",P78/G78)</f>
        <v>0.72582464450281203</v>
      </c>
    </row>
    <row r="79" spans="1:21" x14ac:dyDescent="0.3">
      <c r="F79" s="14"/>
      <c r="G79" s="24"/>
      <c r="H79" s="22"/>
      <c r="I79" s="22"/>
      <c r="J79" s="22"/>
      <c r="K79" s="22"/>
      <c r="L79" s="42"/>
      <c r="M79" s="22"/>
      <c r="N79" s="22"/>
      <c r="O79" s="22"/>
      <c r="P79" s="23"/>
      <c r="Q79" s="81"/>
      <c r="R79" s="41"/>
      <c r="S79" s="257"/>
      <c r="T79" s="74"/>
      <c r="U79" s="259"/>
    </row>
    <row r="80" spans="1:21" x14ac:dyDescent="0.3">
      <c r="A80" s="1" t="s">
        <v>360</v>
      </c>
      <c r="F80" s="14"/>
      <c r="G80" s="44">
        <f>'CAC Inc Stmt'!G80+'AL Inc Stmt'!G80+'ESL Inc Stmt'!G80</f>
        <v>1777.1399999999999</v>
      </c>
      <c r="H80" s="45">
        <f>'CAC Inc Stmt'!H80+'AL Inc Stmt'!H80+'ESL Inc Stmt'!H80</f>
        <v>405.02</v>
      </c>
      <c r="I80" s="45">
        <f>'CAC Inc Stmt'!I80+'AL Inc Stmt'!I80+'ESL Inc Stmt'!I80</f>
        <v>822.15000000000009</v>
      </c>
      <c r="J80" s="45">
        <f>'CAC Inc Stmt'!J80+'AL Inc Stmt'!J80+'ESL Inc Stmt'!J80</f>
        <v>1249.6400000000001</v>
      </c>
      <c r="K80" s="45">
        <f>'CAC Inc Stmt'!K80+'AL Inc Stmt'!K80+'ESL Inc Stmt'!K80</f>
        <v>1680.51</v>
      </c>
      <c r="L80" s="46">
        <f>'CAC Inc Stmt'!L80+'AL Inc Stmt'!L80+'ESL Inc Stmt'!L80</f>
        <v>405.02</v>
      </c>
      <c r="M80" s="45">
        <f>'CAC Inc Stmt'!M80+'AL Inc Stmt'!M80+'ESL Inc Stmt'!M80</f>
        <v>417.13000000000005</v>
      </c>
      <c r="N80" s="45">
        <f>'CAC Inc Stmt'!N80+'AL Inc Stmt'!N80+'ESL Inc Stmt'!N80</f>
        <v>427.49000000000007</v>
      </c>
      <c r="O80" s="45">
        <f>'CAC Inc Stmt'!O80+'AL Inc Stmt'!O80+'ESL Inc Stmt'!O80</f>
        <v>430.86999999999989</v>
      </c>
      <c r="P80" s="68">
        <f>'CAC Inc Stmt'!P80+'AL Inc Stmt'!P80+'ESL Inc Stmt'!P80</f>
        <v>1680.51</v>
      </c>
      <c r="Q80" s="82">
        <f>'CAC Inc Stmt'!Q80+'AL Inc Stmt'!Q80+'ESL Inc Stmt'!Q80</f>
        <v>2100</v>
      </c>
      <c r="R80" s="47">
        <f>SUM(R82:R85)</f>
        <v>-419.49000000000007</v>
      </c>
      <c r="S80" s="276">
        <f t="shared" ref="S80:S86" si="16">IF(Q80=0,"",P80/Q80)</f>
        <v>0.80024285714285714</v>
      </c>
      <c r="T80" s="75">
        <f>SUM(T82:T85)</f>
        <v>-96.630000000000024</v>
      </c>
      <c r="U80" s="332">
        <f t="shared" ref="U80:U86" si="17">IF(G80=0,"",P80/G80)</f>
        <v>0.94562611836996524</v>
      </c>
    </row>
    <row r="81" spans="1:21" outlineLevel="1" x14ac:dyDescent="0.3">
      <c r="B81" t="s">
        <v>108</v>
      </c>
      <c r="F81" s="14"/>
      <c r="G81" s="24">
        <f>'CAC Inc Stmt'!G81+'AL Inc Stmt'!G81+'ESL Inc Stmt'!G81</f>
        <v>0</v>
      </c>
      <c r="H81" s="22">
        <f>'CAC Inc Stmt'!H81+'AL Inc Stmt'!H81+'ESL Inc Stmt'!H81</f>
        <v>0</v>
      </c>
      <c r="I81" s="22">
        <f>'CAC Inc Stmt'!I81+'AL Inc Stmt'!I81+'ESL Inc Stmt'!I81</f>
        <v>0</v>
      </c>
      <c r="J81" s="22">
        <f>'CAC Inc Stmt'!J81+'AL Inc Stmt'!J81+'ESL Inc Stmt'!J81</f>
        <v>0</v>
      </c>
      <c r="K81" s="22">
        <f>'CAC Inc Stmt'!K81+'AL Inc Stmt'!K81+'ESL Inc Stmt'!K81</f>
        <v>0</v>
      </c>
      <c r="L81" s="42">
        <f>'CAC Inc Stmt'!L81+'AL Inc Stmt'!L81+'ESL Inc Stmt'!L81</f>
        <v>0</v>
      </c>
      <c r="M81" s="22">
        <f>'CAC Inc Stmt'!M81+'AL Inc Stmt'!M81+'ESL Inc Stmt'!M81</f>
        <v>0</v>
      </c>
      <c r="N81" s="22">
        <f>'CAC Inc Stmt'!N81+'AL Inc Stmt'!N81+'ESL Inc Stmt'!N81</f>
        <v>0</v>
      </c>
      <c r="O81" s="22">
        <f>'CAC Inc Stmt'!O81+'AL Inc Stmt'!O81+'ESL Inc Stmt'!O81</f>
        <v>0</v>
      </c>
      <c r="P81" s="23">
        <f>'CAC Inc Stmt'!P81+'AL Inc Stmt'!P81+'ESL Inc Stmt'!P81</f>
        <v>0</v>
      </c>
      <c r="Q81" s="81">
        <f>'CAC Inc Stmt'!Q81+'AL Inc Stmt'!Q81+'ESL Inc Stmt'!Q81</f>
        <v>0</v>
      </c>
      <c r="R81" s="41"/>
      <c r="S81" s="278" t="str">
        <f t="shared" si="16"/>
        <v/>
      </c>
      <c r="T81" s="74"/>
      <c r="U81" s="275" t="str">
        <f t="shared" si="17"/>
        <v/>
      </c>
    </row>
    <row r="82" spans="1:21" outlineLevel="1" x14ac:dyDescent="0.3">
      <c r="C82" t="s">
        <v>358</v>
      </c>
      <c r="F82" s="14"/>
      <c r="G82" s="24">
        <f>'CAC Inc Stmt'!G82+'AL Inc Stmt'!G82+'ESL Inc Stmt'!G82</f>
        <v>1697.54</v>
      </c>
      <c r="H82" s="22">
        <f>'CAC Inc Stmt'!H82+'AL Inc Stmt'!H82+'ESL Inc Stmt'!H82</f>
        <v>389.81</v>
      </c>
      <c r="I82" s="22">
        <f>'CAC Inc Stmt'!I82+'AL Inc Stmt'!I82+'ESL Inc Stmt'!I82</f>
        <v>790.58</v>
      </c>
      <c r="J82" s="22">
        <f>'CAC Inc Stmt'!J82+'AL Inc Stmt'!J82+'ESL Inc Stmt'!J82</f>
        <v>1205.92</v>
      </c>
      <c r="K82" s="22">
        <f>'CAC Inc Stmt'!K82+'AL Inc Stmt'!K82+'ESL Inc Stmt'!K82</f>
        <v>1617.07</v>
      </c>
      <c r="L82" s="42">
        <f>'CAC Inc Stmt'!L82+'AL Inc Stmt'!L82+'ESL Inc Stmt'!L82</f>
        <v>389.81</v>
      </c>
      <c r="M82" s="22">
        <f>'CAC Inc Stmt'!M82+'AL Inc Stmt'!M82+'ESL Inc Stmt'!M82</f>
        <v>400.77000000000004</v>
      </c>
      <c r="N82" s="22">
        <f>'CAC Inc Stmt'!N82+'AL Inc Stmt'!N82+'ESL Inc Stmt'!N82</f>
        <v>415.34000000000003</v>
      </c>
      <c r="O82" s="22">
        <f>'CAC Inc Stmt'!O82+'AL Inc Stmt'!O82+'ESL Inc Stmt'!O82</f>
        <v>411.14999999999986</v>
      </c>
      <c r="P82" s="23">
        <f>'CAC Inc Stmt'!P82+'AL Inc Stmt'!P82+'ESL Inc Stmt'!P82</f>
        <v>1617.07</v>
      </c>
      <c r="Q82" s="81">
        <f>'CAC Inc Stmt'!Q82+'AL Inc Stmt'!Q82+'ESL Inc Stmt'!Q82</f>
        <v>2000</v>
      </c>
      <c r="R82" s="41">
        <f>P82-Q82</f>
        <v>-382.93000000000006</v>
      </c>
      <c r="S82" s="278">
        <f t="shared" si="16"/>
        <v>0.808535</v>
      </c>
      <c r="T82" s="74">
        <f>P82-G82</f>
        <v>-80.470000000000027</v>
      </c>
      <c r="U82" s="275">
        <f t="shared" si="17"/>
        <v>0.95259610966457342</v>
      </c>
    </row>
    <row r="83" spans="1:21" outlineLevel="1" x14ac:dyDescent="0.3">
      <c r="B83" t="s">
        <v>359</v>
      </c>
      <c r="F83" s="14">
        <v>5310</v>
      </c>
      <c r="G83" s="24">
        <f>'CAC Inc Stmt'!G83+'AL Inc Stmt'!G83+'ESL Inc Stmt'!G83</f>
        <v>79.599999999999994</v>
      </c>
      <c r="H83" s="22">
        <f>'CAC Inc Stmt'!H83+'AL Inc Stmt'!H83+'ESL Inc Stmt'!H83</f>
        <v>15.21</v>
      </c>
      <c r="I83" s="22">
        <f>'CAC Inc Stmt'!I83+'AL Inc Stmt'!I83+'ESL Inc Stmt'!I83</f>
        <v>31.57</v>
      </c>
      <c r="J83" s="22">
        <f>'CAC Inc Stmt'!J83+'AL Inc Stmt'!J83+'ESL Inc Stmt'!J83</f>
        <v>43.72</v>
      </c>
      <c r="K83" s="22">
        <f>'CAC Inc Stmt'!K83+'AL Inc Stmt'!K83+'ESL Inc Stmt'!K83</f>
        <v>63.44</v>
      </c>
      <c r="L83" s="42">
        <f>'CAC Inc Stmt'!L83+'AL Inc Stmt'!L83+'ESL Inc Stmt'!L83</f>
        <v>15.21</v>
      </c>
      <c r="M83" s="22">
        <f>'CAC Inc Stmt'!M83+'AL Inc Stmt'!M83+'ESL Inc Stmt'!M83</f>
        <v>16.36</v>
      </c>
      <c r="N83" s="22">
        <f>'CAC Inc Stmt'!N83+'AL Inc Stmt'!N83+'ESL Inc Stmt'!N83</f>
        <v>12.149999999999999</v>
      </c>
      <c r="O83" s="22">
        <f>'CAC Inc Stmt'!O83+'AL Inc Stmt'!O83+'ESL Inc Stmt'!O83</f>
        <v>19.72</v>
      </c>
      <c r="P83" s="23">
        <f>'CAC Inc Stmt'!P83+'AL Inc Stmt'!P83+'ESL Inc Stmt'!P83</f>
        <v>63.44</v>
      </c>
      <c r="Q83" s="81">
        <f>'CAC Inc Stmt'!Q83+'AL Inc Stmt'!Q83+'ESL Inc Stmt'!Q83</f>
        <v>100</v>
      </c>
      <c r="R83" s="41">
        <f>P83-Q83</f>
        <v>-36.56</v>
      </c>
      <c r="S83" s="278">
        <f t="shared" si="16"/>
        <v>0.63439999999999996</v>
      </c>
      <c r="T83" s="74">
        <f>P83-G83</f>
        <v>-16.159999999999997</v>
      </c>
      <c r="U83" s="275">
        <f t="shared" si="17"/>
        <v>0.79698492462311565</v>
      </c>
    </row>
    <row r="84" spans="1:21" outlineLevel="1" x14ac:dyDescent="0.3">
      <c r="F84" s="14"/>
      <c r="G84" s="24">
        <f>'CAC Inc Stmt'!G84+'AL Inc Stmt'!G84+'ESL Inc Stmt'!G84</f>
        <v>0</v>
      </c>
      <c r="H84" s="22">
        <f>'CAC Inc Stmt'!H84+'AL Inc Stmt'!H84+'ESL Inc Stmt'!H84</f>
        <v>0</v>
      </c>
      <c r="I84" s="22">
        <f>'CAC Inc Stmt'!I84+'AL Inc Stmt'!I84+'ESL Inc Stmt'!I84</f>
        <v>0</v>
      </c>
      <c r="J84" s="22">
        <f>'CAC Inc Stmt'!J84+'AL Inc Stmt'!J84+'ESL Inc Stmt'!J84</f>
        <v>0</v>
      </c>
      <c r="K84" s="22">
        <f>'CAC Inc Stmt'!K84+'AL Inc Stmt'!K84+'ESL Inc Stmt'!K84</f>
        <v>0</v>
      </c>
      <c r="L84" s="42">
        <f>'CAC Inc Stmt'!L84+'AL Inc Stmt'!L84+'ESL Inc Stmt'!L84</f>
        <v>0</v>
      </c>
      <c r="M84" s="22">
        <f>'CAC Inc Stmt'!M84+'AL Inc Stmt'!M84+'ESL Inc Stmt'!M84</f>
        <v>0</v>
      </c>
      <c r="N84" s="22">
        <f>'CAC Inc Stmt'!N84+'AL Inc Stmt'!N84+'ESL Inc Stmt'!N84</f>
        <v>0</v>
      </c>
      <c r="O84" s="22">
        <f>'CAC Inc Stmt'!O84+'AL Inc Stmt'!O84+'ESL Inc Stmt'!O84</f>
        <v>0</v>
      </c>
      <c r="P84" s="23">
        <f>'CAC Inc Stmt'!P84+'AL Inc Stmt'!P84+'ESL Inc Stmt'!P84</f>
        <v>0</v>
      </c>
      <c r="Q84" s="81">
        <f>'CAC Inc Stmt'!Q84+'AL Inc Stmt'!Q84+'ESL Inc Stmt'!Q84</f>
        <v>0</v>
      </c>
      <c r="R84" s="41">
        <f>P84-Q84</f>
        <v>0</v>
      </c>
      <c r="S84" s="278" t="str">
        <f t="shared" si="16"/>
        <v/>
      </c>
      <c r="T84" s="74">
        <f>P84-G84</f>
        <v>0</v>
      </c>
      <c r="U84" s="275" t="str">
        <f t="shared" si="17"/>
        <v/>
      </c>
    </row>
    <row r="85" spans="1:21" x14ac:dyDescent="0.3">
      <c r="F85" s="14"/>
      <c r="G85" s="24"/>
      <c r="H85" s="22"/>
      <c r="I85" s="22"/>
      <c r="J85" s="22"/>
      <c r="K85" s="22"/>
      <c r="L85" s="42"/>
      <c r="M85" s="22"/>
      <c r="N85" s="22"/>
      <c r="O85" s="22"/>
      <c r="P85" s="23"/>
      <c r="Q85" s="81"/>
      <c r="R85" s="41"/>
      <c r="S85" s="278" t="str">
        <f t="shared" si="16"/>
        <v/>
      </c>
      <c r="T85" s="74"/>
      <c r="U85" s="275" t="str">
        <f t="shared" si="17"/>
        <v/>
      </c>
    </row>
    <row r="86" spans="1:21" x14ac:dyDescent="0.3">
      <c r="A86" s="1" t="s">
        <v>361</v>
      </c>
      <c r="F86" s="14"/>
      <c r="G86" s="44">
        <f>'CAC Inc Stmt'!G86+'AL Inc Stmt'!G86+'ESL Inc Stmt'!G86</f>
        <v>0</v>
      </c>
      <c r="H86" s="45">
        <f>'CAC Inc Stmt'!H86+'AL Inc Stmt'!H86+'ESL Inc Stmt'!H86</f>
        <v>0</v>
      </c>
      <c r="I86" s="45">
        <f>'CAC Inc Stmt'!I86+'AL Inc Stmt'!I86+'ESL Inc Stmt'!I86</f>
        <v>0</v>
      </c>
      <c r="J86" s="45">
        <f>'CAC Inc Stmt'!J86+'AL Inc Stmt'!J86+'ESL Inc Stmt'!J86</f>
        <v>0</v>
      </c>
      <c r="K86" s="45">
        <f>'CAC Inc Stmt'!K86+'AL Inc Stmt'!K86+'ESL Inc Stmt'!K86</f>
        <v>0</v>
      </c>
      <c r="L86" s="46">
        <f>'CAC Inc Stmt'!L86+'AL Inc Stmt'!L86+'ESL Inc Stmt'!L86</f>
        <v>0</v>
      </c>
      <c r="M86" s="45">
        <f>'CAC Inc Stmt'!M86+'AL Inc Stmt'!M86+'ESL Inc Stmt'!M86</f>
        <v>0</v>
      </c>
      <c r="N86" s="45">
        <f>'CAC Inc Stmt'!N86+'AL Inc Stmt'!N86+'ESL Inc Stmt'!N86</f>
        <v>0</v>
      </c>
      <c r="O86" s="45">
        <f>'CAC Inc Stmt'!O86+'AL Inc Stmt'!O86+'ESL Inc Stmt'!O86</f>
        <v>0</v>
      </c>
      <c r="P86" s="68">
        <f>'CAC Inc Stmt'!P86+'AL Inc Stmt'!P86+'ESL Inc Stmt'!P86</f>
        <v>0</v>
      </c>
      <c r="Q86" s="82">
        <f>'CAC Inc Stmt'!Q86+'AL Inc Stmt'!Q86+'ESL Inc Stmt'!Q86</f>
        <v>0</v>
      </c>
      <c r="R86" s="47">
        <f>P86-Q86</f>
        <v>0</v>
      </c>
      <c r="S86" s="276" t="str">
        <f t="shared" si="16"/>
        <v/>
      </c>
      <c r="T86" s="75">
        <f>P86-G86</f>
        <v>0</v>
      </c>
      <c r="U86" s="332" t="str">
        <f t="shared" si="17"/>
        <v/>
      </c>
    </row>
    <row r="87" spans="1:21" x14ac:dyDescent="0.3">
      <c r="F87" s="14"/>
      <c r="G87" s="24"/>
      <c r="H87" s="22"/>
      <c r="I87" s="22"/>
      <c r="J87" s="22"/>
      <c r="K87" s="22"/>
      <c r="L87" s="42"/>
      <c r="M87" s="22"/>
      <c r="N87" s="22"/>
      <c r="O87" s="22"/>
      <c r="P87" s="23"/>
      <c r="Q87" s="81"/>
      <c r="R87" s="41"/>
      <c r="S87" s="278"/>
      <c r="T87" s="74"/>
      <c r="U87" s="275"/>
    </row>
    <row r="88" spans="1:21" ht="14" thickBot="1" x14ac:dyDescent="0.35">
      <c r="A88" s="1" t="s">
        <v>200</v>
      </c>
      <c r="F88" s="14"/>
      <c r="G88" s="60">
        <f>'CAC Inc Stmt'!G88+'AL Inc Stmt'!G88+'ESL Inc Stmt'!G88</f>
        <v>63866.709900000002</v>
      </c>
      <c r="H88" s="61">
        <f>'CAC Inc Stmt'!H88+'AL Inc Stmt'!H88+'ESL Inc Stmt'!H88</f>
        <v>8226.010000000002</v>
      </c>
      <c r="I88" s="61">
        <f>'CAC Inc Stmt'!I88+'AL Inc Stmt'!I88+'ESL Inc Stmt'!I88</f>
        <v>12908.770000000002</v>
      </c>
      <c r="J88" s="61">
        <f>'CAC Inc Stmt'!J88+'AL Inc Stmt'!J88+'ESL Inc Stmt'!J88</f>
        <v>22699.56</v>
      </c>
      <c r="K88" s="61">
        <f>'CAC Inc Stmt'!K88+'AL Inc Stmt'!K88+'ESL Inc Stmt'!K88</f>
        <v>46746.649999999994</v>
      </c>
      <c r="L88" s="62">
        <f>'CAC Inc Stmt'!L88+'AL Inc Stmt'!L88+'ESL Inc Stmt'!L88</f>
        <v>8226.010000000002</v>
      </c>
      <c r="M88" s="61">
        <f>'CAC Inc Stmt'!M88+'AL Inc Stmt'!M88+'ESL Inc Stmt'!M88</f>
        <v>4682.7600000000039</v>
      </c>
      <c r="N88" s="61">
        <f>'CAC Inc Stmt'!N88+'AL Inc Stmt'!N88+'ESL Inc Stmt'!N88</f>
        <v>9790.7900000000009</v>
      </c>
      <c r="O88" s="61">
        <f>'CAC Inc Stmt'!O88+'AL Inc Stmt'!O88+'ESL Inc Stmt'!O88</f>
        <v>24047.089999999997</v>
      </c>
      <c r="P88" s="71">
        <f>'CAC Inc Stmt'!P88+'AL Inc Stmt'!P88+'ESL Inc Stmt'!P88</f>
        <v>46746.649999999994</v>
      </c>
      <c r="Q88" s="85">
        <f>'CAC Inc Stmt'!Q88+'AL Inc Stmt'!Q88+'ESL Inc Stmt'!Q88</f>
        <v>68022.820000000007</v>
      </c>
      <c r="R88" s="63">
        <f>R78+R80-R86</f>
        <v>-21276.169999999995</v>
      </c>
      <c r="S88" s="304">
        <f>IF(Q88=0,"",P88/Q88)</f>
        <v>0.68722011230936897</v>
      </c>
      <c r="T88" s="78">
        <f>T78+T80-T86</f>
        <v>-17120.059900000004</v>
      </c>
      <c r="U88" s="305">
        <f>IF(G88=0,"",P88/G88)</f>
        <v>0.73194078845135546</v>
      </c>
    </row>
    <row r="89" spans="1:21" x14ac:dyDescent="0.3">
      <c r="A89" s="1"/>
      <c r="F89" s="14"/>
      <c r="G89" s="32"/>
      <c r="H89" s="22"/>
      <c r="I89" s="22"/>
      <c r="J89" s="22"/>
      <c r="K89" s="22"/>
      <c r="L89" s="43"/>
      <c r="M89" s="30"/>
      <c r="N89" s="30"/>
      <c r="O89" s="22"/>
      <c r="P89" s="31"/>
      <c r="Q89" s="81"/>
      <c r="R89" s="41"/>
      <c r="S89" s="257"/>
      <c r="T89" s="74"/>
      <c r="U89" s="275"/>
    </row>
    <row r="90" spans="1:21" x14ac:dyDescent="0.3">
      <c r="A90" s="1" t="s">
        <v>275</v>
      </c>
      <c r="F90" s="14"/>
      <c r="G90" s="32"/>
      <c r="H90" s="22"/>
      <c r="I90" s="22"/>
      <c r="J90" s="22"/>
      <c r="K90" s="22"/>
      <c r="L90" s="43"/>
      <c r="M90" s="30"/>
      <c r="N90" s="30"/>
      <c r="O90" s="22"/>
      <c r="P90" s="31"/>
      <c r="Q90" s="81"/>
      <c r="R90" s="41"/>
      <c r="S90" s="257"/>
      <c r="T90" s="74"/>
      <c r="U90" s="275"/>
    </row>
    <row r="91" spans="1:21" x14ac:dyDescent="0.3">
      <c r="A91" s="1"/>
      <c r="B91" t="s">
        <v>276</v>
      </c>
      <c r="F91" s="14"/>
      <c r="G91" s="32">
        <f>'CAC Inc Stmt'!G91+'AL Inc Stmt'!G91+'ESL Inc Stmt'!G91</f>
        <v>44407.06</v>
      </c>
      <c r="H91" s="22">
        <f>'CAC Inc Stmt'!H91+'AL Inc Stmt'!H91+'ESL Inc Stmt'!H91</f>
        <v>0</v>
      </c>
      <c r="I91" s="22">
        <f>'CAC Inc Stmt'!I91+'AL Inc Stmt'!I91+'ESL Inc Stmt'!I91</f>
        <v>8676</v>
      </c>
      <c r="J91" s="22">
        <f>'CAC Inc Stmt'!J91+'AL Inc Stmt'!J91+'ESL Inc Stmt'!J91</f>
        <v>8676</v>
      </c>
      <c r="K91" s="22">
        <f>'CAC Inc Stmt'!K91+'AL Inc Stmt'!K91+'ESL Inc Stmt'!K91</f>
        <v>8676</v>
      </c>
      <c r="L91" s="43">
        <f>'CAC Inc Stmt'!L91+'AL Inc Stmt'!L91+'ESL Inc Stmt'!L91</f>
        <v>0</v>
      </c>
      <c r="M91" s="30">
        <f>'CAC Inc Stmt'!M91+'AL Inc Stmt'!M91+'ESL Inc Stmt'!M91</f>
        <v>8676</v>
      </c>
      <c r="N91" s="30">
        <f>'CAC Inc Stmt'!N91+'AL Inc Stmt'!N91+'ESL Inc Stmt'!N91</f>
        <v>0</v>
      </c>
      <c r="O91" s="22">
        <f>'CAC Inc Stmt'!O91+'AL Inc Stmt'!O91+'ESL Inc Stmt'!O91</f>
        <v>0</v>
      </c>
      <c r="P91" s="31">
        <f>'CAC Inc Stmt'!P91+'AL Inc Stmt'!P91+'ESL Inc Stmt'!P91</f>
        <v>8676</v>
      </c>
      <c r="Q91" s="81">
        <f>'CAC Inc Stmt'!Q91+'AL Inc Stmt'!Q91+'ESL Inc Stmt'!Q91</f>
        <v>19700</v>
      </c>
      <c r="R91" s="41">
        <f>P91-Q91</f>
        <v>-11024</v>
      </c>
      <c r="S91" s="278">
        <f>IF(Q91=0,"",P91/Q91)</f>
        <v>0.44040609137055836</v>
      </c>
      <c r="T91" s="74">
        <f>P91-G91</f>
        <v>-35731.06</v>
      </c>
      <c r="U91" s="275">
        <f>IF(G91=0,"",P91/G91)</f>
        <v>0.19537433912535529</v>
      </c>
    </row>
    <row r="92" spans="1:21" x14ac:dyDescent="0.3">
      <c r="A92" s="1"/>
      <c r="B92" t="s">
        <v>261</v>
      </c>
      <c r="F92" s="14"/>
      <c r="G92" s="32">
        <f>'CAC Inc Stmt'!G92+'AL Inc Stmt'!G92+'ESL Inc Stmt'!G92</f>
        <v>951.47</v>
      </c>
      <c r="H92" s="22">
        <f>'CAC Inc Stmt'!H92+'AL Inc Stmt'!H92+'ESL Inc Stmt'!H92</f>
        <v>789</v>
      </c>
      <c r="I92" s="22">
        <f>'CAC Inc Stmt'!I92+'AL Inc Stmt'!I92+'ESL Inc Stmt'!I92</f>
        <v>2588.9299999999998</v>
      </c>
      <c r="J92" s="22">
        <f>'CAC Inc Stmt'!J92+'AL Inc Stmt'!J92+'ESL Inc Stmt'!J92</f>
        <v>4799</v>
      </c>
      <c r="K92" s="22">
        <f>'CAC Inc Stmt'!K92+'AL Inc Stmt'!K92+'ESL Inc Stmt'!K92</f>
        <v>4799</v>
      </c>
      <c r="L92" s="43">
        <f>'CAC Inc Stmt'!L92+'AL Inc Stmt'!L92+'ESL Inc Stmt'!L92</f>
        <v>789</v>
      </c>
      <c r="M92" s="30">
        <f>'CAC Inc Stmt'!M92+'AL Inc Stmt'!M92+'ESL Inc Stmt'!M92</f>
        <v>1799.9299999999998</v>
      </c>
      <c r="N92" s="30">
        <f>'CAC Inc Stmt'!N92+'AL Inc Stmt'!N92+'ESL Inc Stmt'!N92</f>
        <v>2210.0700000000002</v>
      </c>
      <c r="O92" s="22">
        <f>'CAC Inc Stmt'!O92+'AL Inc Stmt'!O92+'ESL Inc Stmt'!O92</f>
        <v>0</v>
      </c>
      <c r="P92" s="31">
        <f>'CAC Inc Stmt'!P92+'AL Inc Stmt'!P92+'ESL Inc Stmt'!P92</f>
        <v>4799</v>
      </c>
      <c r="Q92" s="81">
        <f>'CAC Inc Stmt'!Q92+'AL Inc Stmt'!Q92+'ESL Inc Stmt'!Q92</f>
        <v>21000</v>
      </c>
      <c r="R92" s="41">
        <f>P92-Q92</f>
        <v>-16201</v>
      </c>
      <c r="S92" s="278">
        <f>IF(Q92=0,"",P92/Q92)</f>
        <v>0.22852380952380952</v>
      </c>
      <c r="T92" s="74">
        <f>P92-G92</f>
        <v>3847.5299999999997</v>
      </c>
      <c r="U92" s="275">
        <f>IF(G92=0,"",P92/G92)</f>
        <v>5.0437743701850817</v>
      </c>
    </row>
    <row r="93" spans="1:21" x14ac:dyDescent="0.3">
      <c r="A93" s="1"/>
      <c r="F93" s="14"/>
      <c r="G93" s="32"/>
      <c r="H93" s="22"/>
      <c r="I93" s="22"/>
      <c r="J93" s="22"/>
      <c r="K93" s="22"/>
      <c r="L93" s="43"/>
      <c r="M93" s="30"/>
      <c r="N93" s="30"/>
      <c r="O93" s="22"/>
      <c r="P93" s="31"/>
      <c r="Q93" s="81"/>
      <c r="R93" s="41"/>
      <c r="S93" s="278"/>
      <c r="T93" s="74"/>
      <c r="U93" s="275"/>
    </row>
    <row r="94" spans="1:21" x14ac:dyDescent="0.3">
      <c r="A94" s="1"/>
      <c r="B94" s="1" t="s">
        <v>277</v>
      </c>
      <c r="F94" s="14"/>
      <c r="G94" s="44">
        <f>'CAC Inc Stmt'!G94+'AL Inc Stmt'!G94+'ESL Inc Stmt'!G94</f>
        <v>45358.53</v>
      </c>
      <c r="H94" s="45">
        <f>'CAC Inc Stmt'!H94+'AL Inc Stmt'!H94+'ESL Inc Stmt'!H94</f>
        <v>789</v>
      </c>
      <c r="I94" s="45">
        <f>'CAC Inc Stmt'!I94+'AL Inc Stmt'!I94+'ESL Inc Stmt'!I94</f>
        <v>11264.93</v>
      </c>
      <c r="J94" s="45">
        <f>'CAC Inc Stmt'!J94+'AL Inc Stmt'!J94+'ESL Inc Stmt'!J94</f>
        <v>13475</v>
      </c>
      <c r="K94" s="45">
        <f>'CAC Inc Stmt'!K94+'AL Inc Stmt'!K94+'ESL Inc Stmt'!K94</f>
        <v>13475</v>
      </c>
      <c r="L94" s="46">
        <f>'CAC Inc Stmt'!L94+'AL Inc Stmt'!L94+'ESL Inc Stmt'!L94</f>
        <v>789</v>
      </c>
      <c r="M94" s="45">
        <f>'CAC Inc Stmt'!M94+'AL Inc Stmt'!M94+'ESL Inc Stmt'!M94</f>
        <v>10475.93</v>
      </c>
      <c r="N94" s="45">
        <f>'CAC Inc Stmt'!N94+'AL Inc Stmt'!N94+'ESL Inc Stmt'!N94</f>
        <v>2210.0700000000002</v>
      </c>
      <c r="O94" s="45">
        <f>'CAC Inc Stmt'!O94+'AL Inc Stmt'!O94+'ESL Inc Stmt'!O94</f>
        <v>0</v>
      </c>
      <c r="P94" s="68">
        <f>'CAC Inc Stmt'!P94+'AL Inc Stmt'!P94+'ESL Inc Stmt'!P94</f>
        <v>13475</v>
      </c>
      <c r="Q94" s="82">
        <f>'CAC Inc Stmt'!Q94+'AL Inc Stmt'!Q94+'ESL Inc Stmt'!Q94</f>
        <v>40700</v>
      </c>
      <c r="R94" s="47">
        <f>R91+R92</f>
        <v>-27225</v>
      </c>
      <c r="S94" s="276">
        <f>IF(Q94=0,"",P94/Q94)</f>
        <v>0.33108108108108109</v>
      </c>
      <c r="T94" s="75">
        <f>T91+T92</f>
        <v>-31883.53</v>
      </c>
      <c r="U94" s="310">
        <f>IF(G94=0,"",P94/G94)</f>
        <v>0.2970775287470736</v>
      </c>
    </row>
    <row r="95" spans="1:21" x14ac:dyDescent="0.3">
      <c r="A95" s="1"/>
      <c r="F95" s="14"/>
      <c r="G95" s="32"/>
      <c r="H95" s="22"/>
      <c r="I95" s="22"/>
      <c r="J95" s="22"/>
      <c r="K95" s="22"/>
      <c r="L95" s="43"/>
      <c r="M95" s="30"/>
      <c r="N95" s="30"/>
      <c r="O95" s="22"/>
      <c r="P95" s="31"/>
      <c r="Q95" s="81"/>
      <c r="R95" s="41"/>
      <c r="S95" s="278"/>
      <c r="T95" s="74"/>
      <c r="U95" s="311"/>
    </row>
    <row r="96" spans="1:21" ht="14" thickBot="1" x14ac:dyDescent="0.35">
      <c r="A96" s="1" t="s">
        <v>362</v>
      </c>
      <c r="F96" s="14"/>
      <c r="G96" s="64">
        <f>'CAC Inc Stmt'!G96+'AL Inc Stmt'!G96+'ESL Inc Stmt'!G96</f>
        <v>18508.180000000008</v>
      </c>
      <c r="H96" s="65">
        <f>'CAC Inc Stmt'!H96+'AL Inc Stmt'!H96+'ESL Inc Stmt'!H96</f>
        <v>7437.0100000000029</v>
      </c>
      <c r="I96" s="65">
        <f>'CAC Inc Stmt'!I96+'AL Inc Stmt'!I96+'ESL Inc Stmt'!I96</f>
        <v>1643.8400000000029</v>
      </c>
      <c r="J96" s="65">
        <f>'CAC Inc Stmt'!J96+'AL Inc Stmt'!J96+'ESL Inc Stmt'!J96</f>
        <v>9224.5600000000013</v>
      </c>
      <c r="K96" s="65">
        <f>'CAC Inc Stmt'!K96+'AL Inc Stmt'!K96+'ESL Inc Stmt'!K96</f>
        <v>33271.649999999994</v>
      </c>
      <c r="L96" s="66">
        <f>'CAC Inc Stmt'!L96+'AL Inc Stmt'!L96+'ESL Inc Stmt'!L96</f>
        <v>7437.0100000000029</v>
      </c>
      <c r="M96" s="65">
        <f>'CAC Inc Stmt'!M96+'AL Inc Stmt'!M96+'ESL Inc Stmt'!M96</f>
        <v>-5793.1699999999964</v>
      </c>
      <c r="N96" s="65">
        <f>'CAC Inc Stmt'!N96+'AL Inc Stmt'!N96+'ESL Inc Stmt'!N96</f>
        <v>7580.72</v>
      </c>
      <c r="O96" s="65">
        <f>'CAC Inc Stmt'!O96+'AL Inc Stmt'!O96+'ESL Inc Stmt'!O96</f>
        <v>24047.089999999997</v>
      </c>
      <c r="P96" s="72">
        <f>'CAC Inc Stmt'!P96+'AL Inc Stmt'!P96+'ESL Inc Stmt'!P96</f>
        <v>33271.649999999994</v>
      </c>
      <c r="Q96" s="86">
        <f>'CAC Inc Stmt'!Q96+'AL Inc Stmt'!Q96+'ESL Inc Stmt'!Q96</f>
        <v>27322.82</v>
      </c>
      <c r="R96" s="67">
        <f>R88-R94</f>
        <v>5948.8300000000054</v>
      </c>
      <c r="S96" s="317">
        <f>IF(Q96=0,"",P96/Q96)</f>
        <v>1.2177238659845504</v>
      </c>
      <c r="T96" s="79">
        <f>T88-T94</f>
        <v>14763.470099999995</v>
      </c>
      <c r="U96" s="319">
        <f>IF(G96=0,"",P96/G96)</f>
        <v>1.7976727047175887</v>
      </c>
    </row>
    <row r="97" spans="1:21" ht="14" thickTop="1" x14ac:dyDescent="0.3">
      <c r="F97" s="14"/>
      <c r="G97" s="24"/>
      <c r="H97" s="22"/>
      <c r="I97" s="22"/>
      <c r="J97" s="22"/>
      <c r="K97" s="22"/>
      <c r="L97" s="42"/>
      <c r="M97" s="22"/>
      <c r="N97" s="22"/>
      <c r="O97" s="22"/>
      <c r="P97" s="23"/>
      <c r="Q97" s="81"/>
      <c r="R97" s="41"/>
      <c r="S97" s="257"/>
      <c r="T97" s="74"/>
      <c r="U97" s="275"/>
    </row>
    <row r="98" spans="1:21" x14ac:dyDescent="0.3">
      <c r="A98" s="1" t="s">
        <v>13</v>
      </c>
      <c r="F98" s="14"/>
      <c r="G98" s="24"/>
      <c r="H98" s="22"/>
      <c r="I98" s="22"/>
      <c r="J98" s="22"/>
      <c r="K98" s="22"/>
      <c r="L98" s="42"/>
      <c r="M98" s="22"/>
      <c r="N98" s="22"/>
      <c r="O98" s="22"/>
      <c r="P98" s="23"/>
      <c r="Q98" s="81"/>
      <c r="R98" s="41"/>
      <c r="S98" s="257"/>
      <c r="T98" s="74"/>
      <c r="U98" s="275"/>
    </row>
    <row r="99" spans="1:21" outlineLevel="1" x14ac:dyDescent="0.3">
      <c r="B99" t="s">
        <v>364</v>
      </c>
      <c r="F99" s="14"/>
      <c r="G99" s="24">
        <f>'CAC Inc Stmt'!G99+'AL Inc Stmt'!G99+'ESL Inc Stmt'!G99</f>
        <v>0</v>
      </c>
      <c r="H99" s="22">
        <f>'CAC Inc Stmt'!H99+'AL Inc Stmt'!H99+'ESL Inc Stmt'!H99</f>
        <v>0</v>
      </c>
      <c r="I99" s="22">
        <f>'CAC Inc Stmt'!I99+'AL Inc Stmt'!I99+'ESL Inc Stmt'!I99</f>
        <v>-12407</v>
      </c>
      <c r="J99" s="22">
        <f>'CAC Inc Stmt'!J99+'AL Inc Stmt'!J99+'ESL Inc Stmt'!J99</f>
        <v>-360</v>
      </c>
      <c r="K99" s="22">
        <f>'CAC Inc Stmt'!K99+'AL Inc Stmt'!K99+'ESL Inc Stmt'!K99</f>
        <v>0</v>
      </c>
      <c r="L99" s="42">
        <f>'CAC Inc Stmt'!L99+'AL Inc Stmt'!L99+'ESL Inc Stmt'!L99</f>
        <v>0</v>
      </c>
      <c r="M99" s="22">
        <f>'CAC Inc Stmt'!M99+'AL Inc Stmt'!M99+'ESL Inc Stmt'!M99</f>
        <v>-12407</v>
      </c>
      <c r="N99" s="22">
        <f>'CAC Inc Stmt'!N99+'AL Inc Stmt'!N99+'ESL Inc Stmt'!N99</f>
        <v>12047</v>
      </c>
      <c r="O99" s="22">
        <f>'CAC Inc Stmt'!O99+'AL Inc Stmt'!O99+'ESL Inc Stmt'!O99</f>
        <v>360</v>
      </c>
      <c r="P99" s="23">
        <f>'CAC Inc Stmt'!P99+'AL Inc Stmt'!P99+'ESL Inc Stmt'!P99</f>
        <v>0</v>
      </c>
      <c r="Q99" s="81">
        <f>'CAC Inc Stmt'!Q99+'AL Inc Stmt'!Q99+'ESL Inc Stmt'!Q99</f>
        <v>0</v>
      </c>
      <c r="R99" s="41">
        <f t="shared" ref="R99:R107" si="18">P99-Q99</f>
        <v>0</v>
      </c>
      <c r="S99" s="278" t="str">
        <f t="shared" ref="S99:S107" si="19">IF(Q99=0,"",P99/Q99)</f>
        <v/>
      </c>
      <c r="T99" s="74">
        <f t="shared" ref="T99:T107" si="20">P99-G99</f>
        <v>0</v>
      </c>
      <c r="U99" s="275" t="str">
        <f t="shared" ref="U99:U107" si="21">IF(G99=0,"",P99/G99)</f>
        <v/>
      </c>
    </row>
    <row r="100" spans="1:21" outlineLevel="1" x14ac:dyDescent="0.3">
      <c r="B100" t="s">
        <v>363</v>
      </c>
      <c r="F100" s="14">
        <v>5491</v>
      </c>
      <c r="G100" s="24">
        <f>'CAC Inc Stmt'!G100+'AL Inc Stmt'!G100+'ESL Inc Stmt'!G100</f>
        <v>0</v>
      </c>
      <c r="H100" s="22">
        <f>'CAC Inc Stmt'!H100+'AL Inc Stmt'!H100+'ESL Inc Stmt'!H100</f>
        <v>0</v>
      </c>
      <c r="I100" s="22">
        <f>'CAC Inc Stmt'!I100+'AL Inc Stmt'!I100+'ESL Inc Stmt'!I100</f>
        <v>-9305</v>
      </c>
      <c r="J100" s="22">
        <f>'CAC Inc Stmt'!J100+'AL Inc Stmt'!J100+'ESL Inc Stmt'!J100</f>
        <v>0</v>
      </c>
      <c r="K100" s="22">
        <f>'CAC Inc Stmt'!K100+'AL Inc Stmt'!K100+'ESL Inc Stmt'!K100</f>
        <v>0</v>
      </c>
      <c r="L100" s="42">
        <f>'CAC Inc Stmt'!L100+'AL Inc Stmt'!L100+'ESL Inc Stmt'!L100</f>
        <v>0</v>
      </c>
      <c r="M100" s="22">
        <f>'CAC Inc Stmt'!M100+'AL Inc Stmt'!M100+'ESL Inc Stmt'!M100</f>
        <v>-9305</v>
      </c>
      <c r="N100" s="22">
        <f>'CAC Inc Stmt'!N100+'AL Inc Stmt'!N100+'ESL Inc Stmt'!N100</f>
        <v>9305</v>
      </c>
      <c r="O100" s="22">
        <f>'CAC Inc Stmt'!O100+'AL Inc Stmt'!O100+'ESL Inc Stmt'!O100</f>
        <v>0</v>
      </c>
      <c r="P100" s="23">
        <f>'CAC Inc Stmt'!P100+'AL Inc Stmt'!P100+'ESL Inc Stmt'!P100</f>
        <v>0</v>
      </c>
      <c r="Q100" s="81">
        <f>'CAC Inc Stmt'!Q100+'AL Inc Stmt'!Q100+'ESL Inc Stmt'!Q100</f>
        <v>0</v>
      </c>
      <c r="R100" s="41">
        <f t="shared" si="18"/>
        <v>0</v>
      </c>
      <c r="S100" s="278" t="str">
        <f t="shared" si="19"/>
        <v/>
      </c>
      <c r="T100" s="74">
        <f t="shared" si="20"/>
        <v>0</v>
      </c>
      <c r="U100" s="275" t="str">
        <f t="shared" si="21"/>
        <v/>
      </c>
    </row>
    <row r="101" spans="1:21" outlineLevel="1" x14ac:dyDescent="0.3">
      <c r="B101" t="s">
        <v>365</v>
      </c>
      <c r="F101" s="14"/>
      <c r="G101" s="24">
        <f>'CAC Inc Stmt'!G101+'AL Inc Stmt'!G101+'ESL Inc Stmt'!G101</f>
        <v>0</v>
      </c>
      <c r="H101" s="22">
        <f>'CAC Inc Stmt'!H101+'AL Inc Stmt'!H101+'ESL Inc Stmt'!H101</f>
        <v>0</v>
      </c>
      <c r="I101" s="22">
        <f>'CAC Inc Stmt'!I101+'AL Inc Stmt'!I101+'ESL Inc Stmt'!I101</f>
        <v>0</v>
      </c>
      <c r="J101" s="22">
        <f>'CAC Inc Stmt'!J101+'AL Inc Stmt'!J101+'ESL Inc Stmt'!J101</f>
        <v>0</v>
      </c>
      <c r="K101" s="22">
        <f>'CAC Inc Stmt'!K101+'AL Inc Stmt'!K101+'ESL Inc Stmt'!K101</f>
        <v>0</v>
      </c>
      <c r="L101" s="42">
        <f>'CAC Inc Stmt'!L101+'AL Inc Stmt'!L101+'ESL Inc Stmt'!L101</f>
        <v>0</v>
      </c>
      <c r="M101" s="22">
        <f>'CAC Inc Stmt'!M101+'AL Inc Stmt'!M101+'ESL Inc Stmt'!M101</f>
        <v>0</v>
      </c>
      <c r="N101" s="22">
        <f>'CAC Inc Stmt'!N101+'AL Inc Stmt'!N101+'ESL Inc Stmt'!N101</f>
        <v>0</v>
      </c>
      <c r="O101" s="22">
        <f>'CAC Inc Stmt'!O101+'AL Inc Stmt'!O101+'ESL Inc Stmt'!O101</f>
        <v>0</v>
      </c>
      <c r="P101" s="23">
        <f>'CAC Inc Stmt'!P101+'AL Inc Stmt'!P101+'ESL Inc Stmt'!P101</f>
        <v>0</v>
      </c>
      <c r="Q101" s="81">
        <f>'CAC Inc Stmt'!Q101+'AL Inc Stmt'!Q101+'ESL Inc Stmt'!Q101</f>
        <v>0</v>
      </c>
      <c r="R101" s="41">
        <f t="shared" si="18"/>
        <v>0</v>
      </c>
      <c r="S101" s="278" t="str">
        <f t="shared" si="19"/>
        <v/>
      </c>
      <c r="T101" s="74">
        <f t="shared" si="20"/>
        <v>0</v>
      </c>
      <c r="U101" s="275" t="str">
        <f t="shared" si="21"/>
        <v/>
      </c>
    </row>
    <row r="102" spans="1:21" outlineLevel="1" x14ac:dyDescent="0.3">
      <c r="B102" t="s">
        <v>273</v>
      </c>
      <c r="F102" s="14"/>
      <c r="G102" s="24">
        <f>'CAC Inc Stmt'!G102+'AL Inc Stmt'!G102+'ESL Inc Stmt'!G102</f>
        <v>0</v>
      </c>
      <c r="H102" s="22">
        <f>'CAC Inc Stmt'!H102+'AL Inc Stmt'!H102+'ESL Inc Stmt'!H102</f>
        <v>0</v>
      </c>
      <c r="I102" s="22">
        <f>'CAC Inc Stmt'!I102+'AL Inc Stmt'!I102+'ESL Inc Stmt'!I102</f>
        <v>0</v>
      </c>
      <c r="J102" s="22">
        <f>'CAC Inc Stmt'!J102+'AL Inc Stmt'!J102+'ESL Inc Stmt'!J102</f>
        <v>0</v>
      </c>
      <c r="K102" s="22">
        <f>'CAC Inc Stmt'!K102+'AL Inc Stmt'!K102+'ESL Inc Stmt'!K102</f>
        <v>0</v>
      </c>
      <c r="L102" s="42">
        <f>'CAC Inc Stmt'!L102+'AL Inc Stmt'!L102+'ESL Inc Stmt'!L102</f>
        <v>0</v>
      </c>
      <c r="M102" s="22">
        <f>'CAC Inc Stmt'!M102+'AL Inc Stmt'!M102+'ESL Inc Stmt'!M102</f>
        <v>0</v>
      </c>
      <c r="N102" s="22">
        <f>'CAC Inc Stmt'!N102+'AL Inc Stmt'!N102+'ESL Inc Stmt'!N102</f>
        <v>0</v>
      </c>
      <c r="O102" s="22">
        <f>'CAC Inc Stmt'!O102+'AL Inc Stmt'!O102+'ESL Inc Stmt'!O102</f>
        <v>0</v>
      </c>
      <c r="P102" s="23">
        <f>'CAC Inc Stmt'!P102+'AL Inc Stmt'!P102+'ESL Inc Stmt'!P102</f>
        <v>0</v>
      </c>
      <c r="Q102" s="81">
        <f>'CAC Inc Stmt'!Q102+'AL Inc Stmt'!Q102+'ESL Inc Stmt'!Q102</f>
        <v>0</v>
      </c>
      <c r="R102" s="41">
        <f t="shared" si="18"/>
        <v>0</v>
      </c>
      <c r="S102" s="278" t="str">
        <f t="shared" si="19"/>
        <v/>
      </c>
      <c r="T102" s="74">
        <f t="shared" si="20"/>
        <v>0</v>
      </c>
      <c r="U102" s="275" t="str">
        <f t="shared" si="21"/>
        <v/>
      </c>
    </row>
    <row r="103" spans="1:21" outlineLevel="1" x14ac:dyDescent="0.3">
      <c r="B103" t="s">
        <v>274</v>
      </c>
      <c r="F103" s="14"/>
      <c r="G103" s="24">
        <f>'CAC Inc Stmt'!G103+'AL Inc Stmt'!G103+'ESL Inc Stmt'!G103</f>
        <v>0</v>
      </c>
      <c r="H103" s="22">
        <f>'CAC Inc Stmt'!H103+'AL Inc Stmt'!H103+'ESL Inc Stmt'!H103</f>
        <v>0</v>
      </c>
      <c r="I103" s="22">
        <f>'CAC Inc Stmt'!I103+'AL Inc Stmt'!I103+'ESL Inc Stmt'!I103</f>
        <v>0</v>
      </c>
      <c r="J103" s="22">
        <f>'CAC Inc Stmt'!J103+'AL Inc Stmt'!J103+'ESL Inc Stmt'!J103</f>
        <v>0</v>
      </c>
      <c r="K103" s="22">
        <f>'CAC Inc Stmt'!K103+'AL Inc Stmt'!K103+'ESL Inc Stmt'!K103</f>
        <v>0</v>
      </c>
      <c r="L103" s="42">
        <f>'CAC Inc Stmt'!L103+'AL Inc Stmt'!L103+'ESL Inc Stmt'!L103</f>
        <v>0</v>
      </c>
      <c r="M103" s="22">
        <f>'CAC Inc Stmt'!M103+'AL Inc Stmt'!M103+'ESL Inc Stmt'!M103</f>
        <v>0</v>
      </c>
      <c r="N103" s="22">
        <f>'CAC Inc Stmt'!N103+'AL Inc Stmt'!N103+'ESL Inc Stmt'!N103</f>
        <v>0</v>
      </c>
      <c r="O103" s="22">
        <f>'CAC Inc Stmt'!O103+'AL Inc Stmt'!O103+'ESL Inc Stmt'!O103</f>
        <v>0</v>
      </c>
      <c r="P103" s="23">
        <f>'CAC Inc Stmt'!P103+'AL Inc Stmt'!P103+'ESL Inc Stmt'!P103</f>
        <v>0</v>
      </c>
      <c r="Q103" s="81">
        <f>'CAC Inc Stmt'!Q103+'AL Inc Stmt'!Q103+'ESL Inc Stmt'!Q103</f>
        <v>0</v>
      </c>
      <c r="R103" s="41">
        <f t="shared" si="18"/>
        <v>0</v>
      </c>
      <c r="S103" s="278" t="str">
        <f t="shared" si="19"/>
        <v/>
      </c>
      <c r="T103" s="74">
        <f t="shared" si="20"/>
        <v>0</v>
      </c>
      <c r="U103" s="275" t="str">
        <f t="shared" si="21"/>
        <v/>
      </c>
    </row>
    <row r="104" spans="1:21" outlineLevel="1" x14ac:dyDescent="0.3">
      <c r="B104" t="s">
        <v>367</v>
      </c>
      <c r="F104" s="14"/>
      <c r="G104" s="24">
        <f>'CAC Inc Stmt'!G104+'AL Inc Stmt'!G104+'ESL Inc Stmt'!G104</f>
        <v>0</v>
      </c>
      <c r="H104" s="22">
        <f>'CAC Inc Stmt'!H104+'AL Inc Stmt'!H104+'ESL Inc Stmt'!H104</f>
        <v>0</v>
      </c>
      <c r="I104" s="22">
        <f>'CAC Inc Stmt'!I104+'AL Inc Stmt'!I104+'ESL Inc Stmt'!I104</f>
        <v>0</v>
      </c>
      <c r="J104" s="22">
        <f>'CAC Inc Stmt'!J104+'AL Inc Stmt'!J104+'ESL Inc Stmt'!J104</f>
        <v>0</v>
      </c>
      <c r="K104" s="22">
        <f>'CAC Inc Stmt'!K104+'AL Inc Stmt'!K104+'ESL Inc Stmt'!K104</f>
        <v>0</v>
      </c>
      <c r="L104" s="42">
        <f>'CAC Inc Stmt'!L104+'AL Inc Stmt'!L104+'ESL Inc Stmt'!L104</f>
        <v>0</v>
      </c>
      <c r="M104" s="22">
        <f>'CAC Inc Stmt'!M104+'AL Inc Stmt'!M104+'ESL Inc Stmt'!M104</f>
        <v>0</v>
      </c>
      <c r="N104" s="22">
        <f>'CAC Inc Stmt'!N104+'AL Inc Stmt'!N104+'ESL Inc Stmt'!N104</f>
        <v>0</v>
      </c>
      <c r="O104" s="22">
        <f>'CAC Inc Stmt'!O104+'AL Inc Stmt'!O104+'ESL Inc Stmt'!O104</f>
        <v>0</v>
      </c>
      <c r="P104" s="23">
        <f>'CAC Inc Stmt'!P104+'AL Inc Stmt'!P104+'ESL Inc Stmt'!P104</f>
        <v>0</v>
      </c>
      <c r="Q104" s="81">
        <f>'CAC Inc Stmt'!Q104+'AL Inc Stmt'!Q104+'ESL Inc Stmt'!Q104</f>
        <v>0</v>
      </c>
      <c r="R104" s="41">
        <f t="shared" si="18"/>
        <v>0</v>
      </c>
      <c r="S104" s="278" t="str">
        <f t="shared" si="19"/>
        <v/>
      </c>
      <c r="T104" s="74">
        <f t="shared" si="20"/>
        <v>0</v>
      </c>
      <c r="U104" s="275" t="str">
        <f t="shared" si="21"/>
        <v/>
      </c>
    </row>
    <row r="105" spans="1:21" outlineLevel="1" x14ac:dyDescent="0.3">
      <c r="B105" t="s">
        <v>220</v>
      </c>
      <c r="F105" s="14"/>
      <c r="G105" s="24">
        <f>'CAC Inc Stmt'!G105+'AL Inc Stmt'!G105+'ESL Inc Stmt'!G105</f>
        <v>0</v>
      </c>
      <c r="H105" s="22">
        <f>'CAC Inc Stmt'!H105+'AL Inc Stmt'!H105+'ESL Inc Stmt'!H105</f>
        <v>0</v>
      </c>
      <c r="I105" s="22">
        <f>'CAC Inc Stmt'!I105+'AL Inc Stmt'!I105+'ESL Inc Stmt'!I105</f>
        <v>0</v>
      </c>
      <c r="J105" s="22">
        <f>'CAC Inc Stmt'!J105+'AL Inc Stmt'!J105+'ESL Inc Stmt'!J105</f>
        <v>0</v>
      </c>
      <c r="K105" s="22">
        <f>'CAC Inc Stmt'!K105+'AL Inc Stmt'!K105+'ESL Inc Stmt'!K105</f>
        <v>0</v>
      </c>
      <c r="L105" s="42">
        <f>'CAC Inc Stmt'!L105+'AL Inc Stmt'!L105+'ESL Inc Stmt'!L105</f>
        <v>0</v>
      </c>
      <c r="M105" s="22">
        <f>'CAC Inc Stmt'!M105+'AL Inc Stmt'!M105+'ESL Inc Stmt'!M105</f>
        <v>0</v>
      </c>
      <c r="N105" s="22">
        <f>'CAC Inc Stmt'!N105+'AL Inc Stmt'!N105+'ESL Inc Stmt'!N105</f>
        <v>0</v>
      </c>
      <c r="O105" s="22">
        <f>'CAC Inc Stmt'!O105+'AL Inc Stmt'!O105+'ESL Inc Stmt'!O105</f>
        <v>0</v>
      </c>
      <c r="P105" s="23">
        <f>'CAC Inc Stmt'!P105+'AL Inc Stmt'!P105+'ESL Inc Stmt'!P105</f>
        <v>0</v>
      </c>
      <c r="Q105" s="81">
        <f>'CAC Inc Stmt'!Q105+'AL Inc Stmt'!Q105+'ESL Inc Stmt'!Q105</f>
        <v>0</v>
      </c>
      <c r="R105" s="41">
        <f t="shared" si="18"/>
        <v>0</v>
      </c>
      <c r="S105" s="278" t="str">
        <f t="shared" si="19"/>
        <v/>
      </c>
      <c r="T105" s="74">
        <f t="shared" si="20"/>
        <v>0</v>
      </c>
      <c r="U105" s="275" t="str">
        <f t="shared" si="21"/>
        <v/>
      </c>
    </row>
    <row r="106" spans="1:21" outlineLevel="1" x14ac:dyDescent="0.3">
      <c r="B106" t="s">
        <v>70</v>
      </c>
      <c r="F106" s="14"/>
      <c r="G106" s="24">
        <f>'CAC Inc Stmt'!G106+'AL Inc Stmt'!G106+'ESL Inc Stmt'!G106</f>
        <v>0</v>
      </c>
      <c r="H106" s="22">
        <f>'CAC Inc Stmt'!H106+'AL Inc Stmt'!H106+'ESL Inc Stmt'!H106</f>
        <v>0</v>
      </c>
      <c r="I106" s="22">
        <f>'CAC Inc Stmt'!I106+'AL Inc Stmt'!I106+'ESL Inc Stmt'!I106</f>
        <v>0</v>
      </c>
      <c r="J106" s="22">
        <f>'CAC Inc Stmt'!J106+'AL Inc Stmt'!J106+'ESL Inc Stmt'!J106</f>
        <v>0</v>
      </c>
      <c r="K106" s="22">
        <f>'CAC Inc Stmt'!K106+'AL Inc Stmt'!K106+'ESL Inc Stmt'!K106</f>
        <v>0</v>
      </c>
      <c r="L106" s="42">
        <f>'CAC Inc Stmt'!L106+'AL Inc Stmt'!L106+'ESL Inc Stmt'!L106</f>
        <v>0</v>
      </c>
      <c r="M106" s="22">
        <f>'CAC Inc Stmt'!M106+'AL Inc Stmt'!M106+'ESL Inc Stmt'!M106</f>
        <v>0</v>
      </c>
      <c r="N106" s="22">
        <f>'CAC Inc Stmt'!N106+'AL Inc Stmt'!N106+'ESL Inc Stmt'!N106</f>
        <v>0</v>
      </c>
      <c r="O106" s="22">
        <f>'CAC Inc Stmt'!O106+'AL Inc Stmt'!O106+'ESL Inc Stmt'!O106</f>
        <v>0</v>
      </c>
      <c r="P106" s="23">
        <f>'CAC Inc Stmt'!P106+'AL Inc Stmt'!P106+'ESL Inc Stmt'!P106</f>
        <v>0</v>
      </c>
      <c r="Q106" s="81">
        <f>'CAC Inc Stmt'!Q106+'AL Inc Stmt'!Q106+'ESL Inc Stmt'!Q106</f>
        <v>0</v>
      </c>
      <c r="R106" s="41">
        <f t="shared" si="18"/>
        <v>0</v>
      </c>
      <c r="S106" s="278" t="str">
        <f t="shared" si="19"/>
        <v/>
      </c>
      <c r="T106" s="74">
        <f t="shared" si="20"/>
        <v>0</v>
      </c>
      <c r="U106" s="275" t="str">
        <f t="shared" si="21"/>
        <v/>
      </c>
    </row>
    <row r="107" spans="1:21" outlineLevel="1" x14ac:dyDescent="0.3">
      <c r="B107" t="s">
        <v>69</v>
      </c>
      <c r="F107" s="14"/>
      <c r="G107" s="24">
        <f>'CAC Inc Stmt'!G107+'AL Inc Stmt'!G107+'ESL Inc Stmt'!G107</f>
        <v>0</v>
      </c>
      <c r="H107" s="22">
        <f>'CAC Inc Stmt'!H107+'AL Inc Stmt'!H107+'ESL Inc Stmt'!H107</f>
        <v>0</v>
      </c>
      <c r="I107" s="22">
        <f>'CAC Inc Stmt'!I107+'AL Inc Stmt'!I107+'ESL Inc Stmt'!I107</f>
        <v>0</v>
      </c>
      <c r="J107" s="22">
        <f>'CAC Inc Stmt'!J107+'AL Inc Stmt'!J107+'ESL Inc Stmt'!J107</f>
        <v>0</v>
      </c>
      <c r="K107" s="22">
        <f>'CAC Inc Stmt'!K107+'AL Inc Stmt'!K107+'ESL Inc Stmt'!K107</f>
        <v>0</v>
      </c>
      <c r="L107" s="42">
        <f>'CAC Inc Stmt'!L107+'AL Inc Stmt'!L107+'ESL Inc Stmt'!L107</f>
        <v>0</v>
      </c>
      <c r="M107" s="22">
        <f>'CAC Inc Stmt'!M107+'AL Inc Stmt'!M107+'ESL Inc Stmt'!M107</f>
        <v>0</v>
      </c>
      <c r="N107" s="22">
        <f>'CAC Inc Stmt'!N107+'AL Inc Stmt'!N107+'ESL Inc Stmt'!N107</f>
        <v>0</v>
      </c>
      <c r="O107" s="22">
        <f>'CAC Inc Stmt'!O107+'AL Inc Stmt'!O107+'ESL Inc Stmt'!O107</f>
        <v>0</v>
      </c>
      <c r="P107" s="23">
        <f>'CAC Inc Stmt'!P107+'AL Inc Stmt'!P107+'ESL Inc Stmt'!P107</f>
        <v>0</v>
      </c>
      <c r="Q107" s="81">
        <f>'CAC Inc Stmt'!Q107+'AL Inc Stmt'!Q107+'ESL Inc Stmt'!Q107</f>
        <v>0</v>
      </c>
      <c r="R107" s="41">
        <f t="shared" si="18"/>
        <v>0</v>
      </c>
      <c r="S107" s="278" t="str">
        <f t="shared" si="19"/>
        <v/>
      </c>
      <c r="T107" s="74">
        <f t="shared" si="20"/>
        <v>0</v>
      </c>
      <c r="U107" s="275" t="str">
        <f t="shared" si="21"/>
        <v/>
      </c>
    </row>
    <row r="108" spans="1:21" outlineLevel="1" x14ac:dyDescent="0.3">
      <c r="F108" s="14"/>
      <c r="G108" s="24"/>
      <c r="H108" s="22"/>
      <c r="I108" s="22"/>
      <c r="J108" s="22"/>
      <c r="K108" s="22"/>
      <c r="L108" s="42"/>
      <c r="M108" s="22"/>
      <c r="N108" s="22"/>
      <c r="O108" s="22"/>
      <c r="P108" s="23"/>
      <c r="Q108" s="81"/>
      <c r="R108" s="41"/>
      <c r="S108" s="257"/>
      <c r="T108" s="74"/>
      <c r="U108" s="275"/>
    </row>
    <row r="109" spans="1:21" x14ac:dyDescent="0.3">
      <c r="B109" s="1" t="s">
        <v>221</v>
      </c>
      <c r="F109" s="14"/>
      <c r="G109" s="52">
        <f>'CAC Inc Stmt'!G109+'AL Inc Stmt'!G109+'ESL Inc Stmt'!G109</f>
        <v>0</v>
      </c>
      <c r="H109" s="53">
        <f>'CAC Inc Stmt'!H109+'AL Inc Stmt'!H109+'ESL Inc Stmt'!H109</f>
        <v>0</v>
      </c>
      <c r="I109" s="53">
        <f>'CAC Inc Stmt'!I109+'AL Inc Stmt'!I109+'ESL Inc Stmt'!I109</f>
        <v>-21712</v>
      </c>
      <c r="J109" s="53">
        <f>'CAC Inc Stmt'!J109+'AL Inc Stmt'!J109+'ESL Inc Stmt'!J109</f>
        <v>-360</v>
      </c>
      <c r="K109" s="53">
        <f>'CAC Inc Stmt'!K109+'AL Inc Stmt'!K109+'ESL Inc Stmt'!K109</f>
        <v>0</v>
      </c>
      <c r="L109" s="54">
        <f>'CAC Inc Stmt'!L109+'AL Inc Stmt'!L109+'ESL Inc Stmt'!L109</f>
        <v>0</v>
      </c>
      <c r="M109" s="53">
        <f>'CAC Inc Stmt'!M109+'AL Inc Stmt'!M109+'ESL Inc Stmt'!M109</f>
        <v>-21712</v>
      </c>
      <c r="N109" s="53">
        <f>'CAC Inc Stmt'!N109+'AL Inc Stmt'!N109+'ESL Inc Stmt'!N109</f>
        <v>21352</v>
      </c>
      <c r="O109" s="53">
        <f>'CAC Inc Stmt'!O109+'AL Inc Stmt'!O109+'ESL Inc Stmt'!O109</f>
        <v>360</v>
      </c>
      <c r="P109" s="69">
        <f>'CAC Inc Stmt'!P109+'AL Inc Stmt'!P109+'ESL Inc Stmt'!P109</f>
        <v>0</v>
      </c>
      <c r="Q109" s="83">
        <f>'CAC Inc Stmt'!Q109+'AL Inc Stmt'!Q109+'ESL Inc Stmt'!Q109</f>
        <v>0</v>
      </c>
      <c r="R109" s="55">
        <f>SUM(R99:R108)</f>
        <v>0</v>
      </c>
      <c r="S109" s="286" t="str">
        <f>IF(Q109=0,"",P109/Q109)</f>
        <v/>
      </c>
      <c r="T109" s="76">
        <f>SUM(T99:T108)</f>
        <v>0</v>
      </c>
      <c r="U109" s="288" t="str">
        <f>IF(G109=0,"",P109/G109)</f>
        <v/>
      </c>
    </row>
    <row r="110" spans="1:21" x14ac:dyDescent="0.3">
      <c r="F110" s="14"/>
      <c r="G110" s="24"/>
      <c r="H110" s="22"/>
      <c r="I110" s="22"/>
      <c r="J110" s="22"/>
      <c r="K110" s="22"/>
      <c r="L110" s="42"/>
      <c r="M110" s="22"/>
      <c r="N110" s="22"/>
      <c r="O110" s="22"/>
      <c r="P110" s="23"/>
      <c r="Q110" s="81"/>
      <c r="R110" s="41"/>
      <c r="S110" s="257"/>
      <c r="T110" s="74"/>
      <c r="U110" s="275"/>
    </row>
    <row r="111" spans="1:21" x14ac:dyDescent="0.3">
      <c r="F111" s="14"/>
      <c r="G111" s="24"/>
      <c r="H111" s="22"/>
      <c r="I111" s="22"/>
      <c r="J111" s="22"/>
      <c r="K111" s="22"/>
      <c r="L111" s="42"/>
      <c r="M111" s="22"/>
      <c r="N111" s="22"/>
      <c r="O111" s="22"/>
      <c r="P111" s="23"/>
      <c r="Q111" s="81"/>
      <c r="R111" s="41"/>
      <c r="S111" s="257"/>
      <c r="T111" s="74"/>
      <c r="U111" s="275"/>
    </row>
    <row r="112" spans="1:21" x14ac:dyDescent="0.3">
      <c r="F112" s="14"/>
      <c r="G112" s="24"/>
      <c r="H112" s="22"/>
      <c r="I112" s="22"/>
      <c r="J112" s="22"/>
      <c r="K112" s="22"/>
      <c r="L112" s="42"/>
      <c r="M112" s="22"/>
      <c r="N112" s="22"/>
      <c r="O112" s="22"/>
      <c r="P112" s="23"/>
      <c r="Q112" s="81"/>
      <c r="R112" s="41"/>
      <c r="S112" s="257"/>
      <c r="T112" s="74"/>
      <c r="U112" s="275"/>
    </row>
    <row r="113" spans="1:21" x14ac:dyDescent="0.3">
      <c r="A113" s="1" t="s">
        <v>222</v>
      </c>
      <c r="F113" s="14"/>
      <c r="G113" s="24"/>
      <c r="H113" s="22"/>
      <c r="I113" s="22"/>
      <c r="J113" s="22"/>
      <c r="K113" s="22"/>
      <c r="L113" s="42"/>
      <c r="M113" s="22"/>
      <c r="N113" s="22"/>
      <c r="O113" s="22"/>
      <c r="P113" s="23"/>
      <c r="Q113" s="81"/>
      <c r="R113" s="41"/>
      <c r="S113" s="257"/>
      <c r="T113" s="74"/>
      <c r="U113" s="275"/>
    </row>
    <row r="114" spans="1:21" x14ac:dyDescent="0.3">
      <c r="A114" s="1"/>
      <c r="B114" s="1" t="s">
        <v>278</v>
      </c>
      <c r="F114" s="14"/>
      <c r="G114" s="24"/>
      <c r="H114" s="22"/>
      <c r="I114" s="22"/>
      <c r="J114" s="22"/>
      <c r="K114" s="22"/>
      <c r="L114" s="42"/>
      <c r="M114" s="22"/>
      <c r="N114" s="22"/>
      <c r="O114" s="22"/>
      <c r="P114" s="23"/>
      <c r="Q114" s="81"/>
      <c r="R114" s="41"/>
      <c r="S114" s="257"/>
      <c r="T114" s="74"/>
      <c r="U114" s="275"/>
    </row>
    <row r="115" spans="1:21" hidden="1" outlineLevel="1" x14ac:dyDescent="0.3">
      <c r="A115" s="1"/>
      <c r="C115" t="s">
        <v>279</v>
      </c>
      <c r="F115" s="14"/>
      <c r="G115" s="24"/>
      <c r="H115" s="22"/>
      <c r="I115" s="22"/>
      <c r="J115" s="22"/>
      <c r="K115" s="22"/>
      <c r="L115" s="42"/>
      <c r="M115" s="22"/>
      <c r="N115" s="22"/>
      <c r="O115" s="22"/>
      <c r="P115" s="23"/>
      <c r="Q115" s="81"/>
      <c r="R115" s="41"/>
      <c r="S115" s="278" t="str">
        <f t="shared" ref="S115:S130" si="22">IF(Q115=0,"",P115/Q115)</f>
        <v/>
      </c>
      <c r="T115" s="74"/>
      <c r="U115" s="275" t="str">
        <f t="shared" ref="U115:U130" si="23">IF(G115=0,"",P115/G115)</f>
        <v/>
      </c>
    </row>
    <row r="116" spans="1:21" hidden="1" outlineLevel="1" x14ac:dyDescent="0.3">
      <c r="A116" s="1"/>
      <c r="C116" t="s">
        <v>280</v>
      </c>
      <c r="F116" s="14"/>
      <c r="G116" s="24"/>
      <c r="H116" s="22"/>
      <c r="I116" s="22"/>
      <c r="J116" s="22"/>
      <c r="K116" s="22"/>
      <c r="L116" s="42"/>
      <c r="M116" s="22"/>
      <c r="N116" s="22"/>
      <c r="O116" s="22"/>
      <c r="P116" s="23"/>
      <c r="Q116" s="81"/>
      <c r="R116" s="41"/>
      <c r="S116" s="278" t="str">
        <f t="shared" si="22"/>
        <v/>
      </c>
      <c r="T116" s="74"/>
      <c r="U116" s="275" t="str">
        <f t="shared" si="23"/>
        <v/>
      </c>
    </row>
    <row r="117" spans="1:21" hidden="1" outlineLevel="1" x14ac:dyDescent="0.3">
      <c r="A117" s="1"/>
      <c r="C117" t="s">
        <v>281</v>
      </c>
      <c r="F117" s="14"/>
      <c r="G117" s="24"/>
      <c r="H117" s="22"/>
      <c r="I117" s="22"/>
      <c r="J117" s="22"/>
      <c r="K117" s="22"/>
      <c r="L117" s="42"/>
      <c r="M117" s="22"/>
      <c r="N117" s="22"/>
      <c r="O117" s="22"/>
      <c r="P117" s="23"/>
      <c r="Q117" s="81"/>
      <c r="R117" s="41"/>
      <c r="S117" s="278" t="str">
        <f t="shared" si="22"/>
        <v/>
      </c>
      <c r="T117" s="74"/>
      <c r="U117" s="275" t="str">
        <f t="shared" si="23"/>
        <v/>
      </c>
    </row>
    <row r="118" spans="1:21" hidden="1" outlineLevel="1" x14ac:dyDescent="0.3">
      <c r="A118" s="1"/>
      <c r="C118" t="s">
        <v>282</v>
      </c>
      <c r="F118" s="14"/>
      <c r="G118" s="24"/>
      <c r="H118" s="22"/>
      <c r="I118" s="22"/>
      <c r="J118" s="22"/>
      <c r="K118" s="22"/>
      <c r="L118" s="42"/>
      <c r="M118" s="22"/>
      <c r="N118" s="22"/>
      <c r="O118" s="22"/>
      <c r="P118" s="23"/>
      <c r="Q118" s="81"/>
      <c r="R118" s="41"/>
      <c r="S118" s="278" t="str">
        <f t="shared" si="22"/>
        <v/>
      </c>
      <c r="T118" s="74"/>
      <c r="U118" s="275" t="str">
        <f t="shared" si="23"/>
        <v/>
      </c>
    </row>
    <row r="119" spans="1:21" hidden="1" outlineLevel="1" x14ac:dyDescent="0.3">
      <c r="A119" s="1"/>
      <c r="C119" t="s">
        <v>283</v>
      </c>
      <c r="F119" s="14"/>
      <c r="G119" s="24"/>
      <c r="H119" s="22"/>
      <c r="I119" s="22"/>
      <c r="J119" s="22"/>
      <c r="K119" s="22"/>
      <c r="L119" s="42"/>
      <c r="M119" s="22"/>
      <c r="N119" s="22"/>
      <c r="O119" s="22"/>
      <c r="P119" s="23"/>
      <c r="Q119" s="81"/>
      <c r="R119" s="41"/>
      <c r="S119" s="278" t="str">
        <f t="shared" si="22"/>
        <v/>
      </c>
      <c r="T119" s="74"/>
      <c r="U119" s="275" t="str">
        <f t="shared" si="23"/>
        <v/>
      </c>
    </row>
    <row r="120" spans="1:21" hidden="1" outlineLevel="1" x14ac:dyDescent="0.3">
      <c r="A120" s="1"/>
      <c r="C120" t="s">
        <v>284</v>
      </c>
      <c r="F120" s="14"/>
      <c r="G120" s="24"/>
      <c r="H120" s="22"/>
      <c r="I120" s="22"/>
      <c r="J120" s="22"/>
      <c r="K120" s="22"/>
      <c r="L120" s="42"/>
      <c r="M120" s="22"/>
      <c r="N120" s="22"/>
      <c r="O120" s="22"/>
      <c r="P120" s="23"/>
      <c r="Q120" s="81"/>
      <c r="R120" s="41"/>
      <c r="S120" s="278" t="str">
        <f t="shared" si="22"/>
        <v/>
      </c>
      <c r="T120" s="74"/>
      <c r="U120" s="275" t="str">
        <f t="shared" si="23"/>
        <v/>
      </c>
    </row>
    <row r="121" spans="1:21" hidden="1" outlineLevel="1" x14ac:dyDescent="0.3">
      <c r="A121" s="1"/>
      <c r="C121" t="s">
        <v>285</v>
      </c>
      <c r="F121" s="14"/>
      <c r="G121" s="24"/>
      <c r="H121" s="22"/>
      <c r="I121" s="22"/>
      <c r="J121" s="22"/>
      <c r="K121" s="22"/>
      <c r="L121" s="42"/>
      <c r="M121" s="22"/>
      <c r="N121" s="22"/>
      <c r="O121" s="22"/>
      <c r="P121" s="23"/>
      <c r="Q121" s="81"/>
      <c r="R121" s="41"/>
      <c r="S121" s="278" t="str">
        <f t="shared" si="22"/>
        <v/>
      </c>
      <c r="T121" s="74"/>
      <c r="U121" s="275" t="str">
        <f t="shared" si="23"/>
        <v/>
      </c>
    </row>
    <row r="122" spans="1:21" hidden="1" outlineLevel="1" x14ac:dyDescent="0.3">
      <c r="A122" s="1"/>
      <c r="C122" t="s">
        <v>286</v>
      </c>
      <c r="F122" s="14"/>
      <c r="G122" s="24"/>
      <c r="H122" s="22"/>
      <c r="I122" s="22"/>
      <c r="J122" s="22"/>
      <c r="K122" s="22"/>
      <c r="L122" s="42"/>
      <c r="M122" s="22"/>
      <c r="N122" s="22"/>
      <c r="O122" s="22"/>
      <c r="P122" s="23"/>
      <c r="Q122" s="81"/>
      <c r="R122" s="41"/>
      <c r="S122" s="278" t="str">
        <f t="shared" si="22"/>
        <v/>
      </c>
      <c r="T122" s="74"/>
      <c r="U122" s="275" t="str">
        <f t="shared" si="23"/>
        <v/>
      </c>
    </row>
    <row r="123" spans="1:21" hidden="1" outlineLevel="1" x14ac:dyDescent="0.3">
      <c r="A123" s="1"/>
      <c r="C123" t="s">
        <v>287</v>
      </c>
      <c r="F123" s="14"/>
      <c r="G123" s="24"/>
      <c r="H123" s="22"/>
      <c r="I123" s="22"/>
      <c r="J123" s="22"/>
      <c r="K123" s="22"/>
      <c r="L123" s="42"/>
      <c r="M123" s="22"/>
      <c r="N123" s="22"/>
      <c r="O123" s="22"/>
      <c r="P123" s="23"/>
      <c r="Q123" s="81"/>
      <c r="R123" s="41"/>
      <c r="S123" s="278" t="str">
        <f t="shared" si="22"/>
        <v/>
      </c>
      <c r="T123" s="74"/>
      <c r="U123" s="275" t="str">
        <f t="shared" si="23"/>
        <v/>
      </c>
    </row>
    <row r="124" spans="1:21" hidden="1" outlineLevel="1" x14ac:dyDescent="0.3">
      <c r="A124" s="1"/>
      <c r="C124" t="s">
        <v>112</v>
      </c>
      <c r="F124" s="14"/>
      <c r="G124" s="24"/>
      <c r="H124" s="22"/>
      <c r="I124" s="22"/>
      <c r="J124" s="22"/>
      <c r="K124" s="22"/>
      <c r="L124" s="42"/>
      <c r="M124" s="22"/>
      <c r="N124" s="22"/>
      <c r="O124" s="22"/>
      <c r="P124" s="23"/>
      <c r="Q124" s="81"/>
      <c r="R124" s="41"/>
      <c r="S124" s="278" t="str">
        <f t="shared" si="22"/>
        <v/>
      </c>
      <c r="T124" s="74"/>
      <c r="U124" s="275" t="str">
        <f t="shared" si="23"/>
        <v/>
      </c>
    </row>
    <row r="125" spans="1:21" hidden="1" outlineLevel="1" x14ac:dyDescent="0.3">
      <c r="A125" s="1"/>
      <c r="C125" t="s">
        <v>113</v>
      </c>
      <c r="F125" s="14"/>
      <c r="G125" s="24"/>
      <c r="H125" s="22"/>
      <c r="I125" s="22"/>
      <c r="J125" s="22"/>
      <c r="K125" s="22"/>
      <c r="L125" s="42"/>
      <c r="M125" s="22"/>
      <c r="N125" s="22"/>
      <c r="O125" s="22"/>
      <c r="P125" s="23"/>
      <c r="Q125" s="81"/>
      <c r="R125" s="41"/>
      <c r="S125" s="278" t="str">
        <f t="shared" si="22"/>
        <v/>
      </c>
      <c r="T125" s="74"/>
      <c r="U125" s="275" t="str">
        <f t="shared" si="23"/>
        <v/>
      </c>
    </row>
    <row r="126" spans="1:21" hidden="1" outlineLevel="1" x14ac:dyDescent="0.3">
      <c r="A126" s="1"/>
      <c r="C126" t="s">
        <v>114</v>
      </c>
      <c r="F126" s="14"/>
      <c r="G126" s="24"/>
      <c r="H126" s="22"/>
      <c r="I126" s="22"/>
      <c r="J126" s="22"/>
      <c r="K126" s="22"/>
      <c r="L126" s="42"/>
      <c r="M126" s="22"/>
      <c r="N126" s="22"/>
      <c r="O126" s="22"/>
      <c r="P126" s="23"/>
      <c r="Q126" s="81"/>
      <c r="R126" s="41"/>
      <c r="S126" s="278" t="str">
        <f t="shared" si="22"/>
        <v/>
      </c>
      <c r="T126" s="74"/>
      <c r="U126" s="275" t="str">
        <f t="shared" si="23"/>
        <v/>
      </c>
    </row>
    <row r="127" spans="1:21" hidden="1" outlineLevel="1" x14ac:dyDescent="0.3">
      <c r="A127" s="1"/>
      <c r="C127" t="s">
        <v>115</v>
      </c>
      <c r="F127" s="14"/>
      <c r="G127" s="24"/>
      <c r="H127" s="22"/>
      <c r="I127" s="22"/>
      <c r="J127" s="22"/>
      <c r="K127" s="22"/>
      <c r="L127" s="42"/>
      <c r="M127" s="22"/>
      <c r="N127" s="22"/>
      <c r="O127" s="22"/>
      <c r="P127" s="23"/>
      <c r="Q127" s="81"/>
      <c r="R127" s="41"/>
      <c r="S127" s="278" t="str">
        <f t="shared" si="22"/>
        <v/>
      </c>
      <c r="T127" s="74"/>
      <c r="U127" s="275" t="str">
        <f t="shared" si="23"/>
        <v/>
      </c>
    </row>
    <row r="128" spans="1:21" hidden="1" outlineLevel="1" x14ac:dyDescent="0.3">
      <c r="A128" s="1"/>
      <c r="C128" t="s">
        <v>116</v>
      </c>
      <c r="F128" s="14"/>
      <c r="G128" s="24"/>
      <c r="H128" s="22"/>
      <c r="I128" s="22"/>
      <c r="J128" s="22"/>
      <c r="K128" s="22"/>
      <c r="L128" s="42"/>
      <c r="M128" s="22"/>
      <c r="N128" s="22"/>
      <c r="O128" s="22"/>
      <c r="P128" s="23"/>
      <c r="Q128" s="81"/>
      <c r="R128" s="41"/>
      <c r="S128" s="278" t="str">
        <f t="shared" si="22"/>
        <v/>
      </c>
      <c r="T128" s="74"/>
      <c r="U128" s="275" t="str">
        <f t="shared" si="23"/>
        <v/>
      </c>
    </row>
    <row r="129" spans="1:21" hidden="1" outlineLevel="1" x14ac:dyDescent="0.3">
      <c r="A129" s="1"/>
      <c r="C129" t="s">
        <v>117</v>
      </c>
      <c r="F129" s="14"/>
      <c r="G129" s="24"/>
      <c r="H129" s="22"/>
      <c r="I129" s="22"/>
      <c r="J129" s="22"/>
      <c r="K129" s="22"/>
      <c r="L129" s="42"/>
      <c r="M129" s="22"/>
      <c r="N129" s="22"/>
      <c r="O129" s="22"/>
      <c r="P129" s="23"/>
      <c r="Q129" s="81"/>
      <c r="R129" s="41"/>
      <c r="S129" s="278" t="str">
        <f t="shared" si="22"/>
        <v/>
      </c>
      <c r="T129" s="74"/>
      <c r="U129" s="275" t="str">
        <f t="shared" si="23"/>
        <v/>
      </c>
    </row>
    <row r="130" spans="1:21" hidden="1" outlineLevel="1" x14ac:dyDescent="0.3">
      <c r="A130" s="1"/>
      <c r="F130" s="14"/>
      <c r="G130" s="24"/>
      <c r="H130" s="22"/>
      <c r="I130" s="22"/>
      <c r="J130" s="22"/>
      <c r="K130" s="22"/>
      <c r="L130" s="42"/>
      <c r="M130" s="22"/>
      <c r="N130" s="22"/>
      <c r="O130" s="22"/>
      <c r="P130" s="23"/>
      <c r="Q130" s="81"/>
      <c r="R130" s="41"/>
      <c r="S130" s="278" t="str">
        <f t="shared" si="22"/>
        <v/>
      </c>
      <c r="T130" s="74"/>
      <c r="U130" s="275" t="str">
        <f t="shared" si="23"/>
        <v/>
      </c>
    </row>
    <row r="131" spans="1:21" hidden="1" outlineLevel="1" x14ac:dyDescent="0.3">
      <c r="A131" s="1"/>
      <c r="F131" s="14"/>
      <c r="G131" s="24"/>
      <c r="H131" s="22"/>
      <c r="I131" s="22"/>
      <c r="J131" s="22"/>
      <c r="K131" s="22"/>
      <c r="L131" s="42"/>
      <c r="M131" s="22"/>
      <c r="N131" s="22"/>
      <c r="O131" s="22"/>
      <c r="P131" s="23"/>
      <c r="Q131" s="81"/>
      <c r="R131" s="41"/>
      <c r="S131" s="257"/>
      <c r="T131" s="74"/>
      <c r="U131" s="275"/>
    </row>
    <row r="132" spans="1:21" collapsed="1" x14ac:dyDescent="0.3">
      <c r="A132" s="1"/>
      <c r="C132" s="1" t="s">
        <v>142</v>
      </c>
      <c r="F132" s="14"/>
      <c r="G132" s="44">
        <f>'CAC Inc Stmt'!G132+'AL Inc Stmt'!G132+'ESL Inc Stmt'!G132</f>
        <v>45358.53</v>
      </c>
      <c r="H132" s="45">
        <f>'CAC Inc Stmt'!H132+'AL Inc Stmt'!H132+'ESL Inc Stmt'!H132</f>
        <v>789</v>
      </c>
      <c r="I132" s="45">
        <f>'CAC Inc Stmt'!I132+'AL Inc Stmt'!I132+'ESL Inc Stmt'!I132</f>
        <v>11264.93</v>
      </c>
      <c r="J132" s="45">
        <f>'CAC Inc Stmt'!J132+'AL Inc Stmt'!J132+'ESL Inc Stmt'!J132</f>
        <v>13475</v>
      </c>
      <c r="K132" s="45">
        <f>'CAC Inc Stmt'!K132+'AL Inc Stmt'!K132+'ESL Inc Stmt'!K132</f>
        <v>13475</v>
      </c>
      <c r="L132" s="46">
        <f>'CAC Inc Stmt'!L132+'AL Inc Stmt'!L132+'ESL Inc Stmt'!L132</f>
        <v>789</v>
      </c>
      <c r="M132" s="45">
        <f>'CAC Inc Stmt'!M132+'AL Inc Stmt'!M132+'ESL Inc Stmt'!M132</f>
        <v>10475.93</v>
      </c>
      <c r="N132" s="45">
        <f>'CAC Inc Stmt'!N132+'AL Inc Stmt'!N132+'ESL Inc Stmt'!N132</f>
        <v>2210.0700000000002</v>
      </c>
      <c r="O132" s="45">
        <f>'CAC Inc Stmt'!O132+'AL Inc Stmt'!O132+'ESL Inc Stmt'!O132</f>
        <v>0</v>
      </c>
      <c r="P132" s="68">
        <f>'CAC Inc Stmt'!P132+'AL Inc Stmt'!P132+'ESL Inc Stmt'!P132</f>
        <v>13475</v>
      </c>
      <c r="Q132" s="82">
        <f>'CAC Inc Stmt'!Q132+'AL Inc Stmt'!Q132+'ESL Inc Stmt'!Q132</f>
        <v>40700</v>
      </c>
      <c r="R132" s="47">
        <f>SUM(R115:R131)</f>
        <v>0</v>
      </c>
      <c r="S132" s="276">
        <f>IF(Q132=0,"",P132/Q132)</f>
        <v>0.33108108108108109</v>
      </c>
      <c r="T132" s="75">
        <f>SUM(T115:T131)</f>
        <v>0</v>
      </c>
      <c r="U132" s="310">
        <f>IF(G132=0,"",P132/G132)</f>
        <v>0.2970775287470736</v>
      </c>
    </row>
    <row r="133" spans="1:21" x14ac:dyDescent="0.3">
      <c r="A133" s="1"/>
      <c r="F133" s="14"/>
      <c r="G133" s="24"/>
      <c r="H133" s="22"/>
      <c r="I133" s="22"/>
      <c r="J133" s="22"/>
      <c r="K133" s="22"/>
      <c r="L133" s="42"/>
      <c r="M133" s="22"/>
      <c r="N133" s="22"/>
      <c r="O133" s="22"/>
      <c r="P133" s="23"/>
      <c r="Q133" s="81"/>
      <c r="R133" s="41"/>
      <c r="S133" s="257"/>
      <c r="T133" s="74"/>
      <c r="U133" s="275"/>
    </row>
    <row r="134" spans="1:21" x14ac:dyDescent="0.3">
      <c r="B134" s="1" t="s">
        <v>370</v>
      </c>
      <c r="F134" s="14"/>
      <c r="G134" s="24"/>
      <c r="H134" s="22"/>
      <c r="I134" s="22"/>
      <c r="J134" s="22"/>
      <c r="K134" s="22"/>
      <c r="L134" s="42"/>
      <c r="M134" s="22"/>
      <c r="N134" s="22"/>
      <c r="O134" s="22"/>
      <c r="P134" s="23"/>
      <c r="Q134" s="81"/>
      <c r="R134" s="41">
        <f>P134-Q134</f>
        <v>0</v>
      </c>
      <c r="S134" s="278" t="str">
        <f>IF(Q134=0,"",P134/Q134)</f>
        <v/>
      </c>
      <c r="T134" s="74">
        <f>P134-G134</f>
        <v>0</v>
      </c>
      <c r="U134" s="275" t="str">
        <f>IF(G134=0,"",P134/G134)</f>
        <v/>
      </c>
    </row>
    <row r="135" spans="1:21" x14ac:dyDescent="0.3">
      <c r="C135" t="s">
        <v>223</v>
      </c>
      <c r="F135" s="14"/>
      <c r="G135" s="24">
        <f>'CAC Inc Stmt'!G135+'AL Inc Stmt'!G135+'ESL Inc Stmt'!G135</f>
        <v>13180.000099999999</v>
      </c>
      <c r="H135" s="22">
        <f>'CAC Inc Stmt'!H135+'AL Inc Stmt'!H135+'ESL Inc Stmt'!H135</f>
        <v>13680</v>
      </c>
      <c r="I135" s="22">
        <f>'CAC Inc Stmt'!I135+'AL Inc Stmt'!I135+'ESL Inc Stmt'!I135</f>
        <v>19126</v>
      </c>
      <c r="J135" s="22">
        <f>'CAC Inc Stmt'!J135+'AL Inc Stmt'!J135+'ESL Inc Stmt'!J135</f>
        <v>13680</v>
      </c>
      <c r="K135" s="22">
        <f>'CAC Inc Stmt'!K135+'AL Inc Stmt'!K135+'ESL Inc Stmt'!K135</f>
        <v>13680</v>
      </c>
      <c r="L135" s="42">
        <f>'CAC Inc Stmt'!L135+'AL Inc Stmt'!L135+'ESL Inc Stmt'!L135</f>
        <v>13680</v>
      </c>
      <c r="M135" s="22">
        <f>'CAC Inc Stmt'!M135+'AL Inc Stmt'!M135+'ESL Inc Stmt'!M135</f>
        <v>5446</v>
      </c>
      <c r="N135" s="22">
        <f>'CAC Inc Stmt'!N135+'AL Inc Stmt'!N135+'ESL Inc Stmt'!N135</f>
        <v>0</v>
      </c>
      <c r="O135" s="22">
        <f>'CAC Inc Stmt'!O135+'AL Inc Stmt'!O135+'ESL Inc Stmt'!O135</f>
        <v>0</v>
      </c>
      <c r="P135" s="23">
        <f>'CAC Inc Stmt'!P135+'AL Inc Stmt'!P135+'ESL Inc Stmt'!P135</f>
        <v>19126</v>
      </c>
      <c r="Q135" s="81">
        <f>'CAC Inc Stmt'!Q135+'AL Inc Stmt'!Q135+'ESL Inc Stmt'!Q135</f>
        <v>13115</v>
      </c>
      <c r="R135" s="41">
        <f>P135-Q135</f>
        <v>6011</v>
      </c>
      <c r="S135" s="278">
        <f>IF(Q135=0,"",P135/Q135)</f>
        <v>1.4583301563095692</v>
      </c>
      <c r="T135" s="74">
        <f>P135-G135</f>
        <v>5945.9999000000007</v>
      </c>
      <c r="U135" s="275">
        <f>IF(G135=0,"",P135/G135)</f>
        <v>1.4511380770019873</v>
      </c>
    </row>
    <row r="136" spans="1:21" x14ac:dyDescent="0.3">
      <c r="C136" t="s">
        <v>224</v>
      </c>
      <c r="F136" s="14"/>
      <c r="G136" s="24">
        <f>'CAC Inc Stmt'!G136+'AL Inc Stmt'!G136+'ESL Inc Stmt'!G136</f>
        <v>1100</v>
      </c>
      <c r="H136" s="22">
        <f>'CAC Inc Stmt'!H136+'AL Inc Stmt'!H136+'ESL Inc Stmt'!H136</f>
        <v>1100</v>
      </c>
      <c r="I136" s="22">
        <f>'CAC Inc Stmt'!I136+'AL Inc Stmt'!I136+'ESL Inc Stmt'!I136</f>
        <v>1100</v>
      </c>
      <c r="J136" s="22">
        <f>'CAC Inc Stmt'!J136+'AL Inc Stmt'!J136+'ESL Inc Stmt'!J136</f>
        <v>1100</v>
      </c>
      <c r="K136" s="22">
        <f>'CAC Inc Stmt'!K136+'AL Inc Stmt'!K136+'ESL Inc Stmt'!K136</f>
        <v>1100</v>
      </c>
      <c r="L136" s="42">
        <f>'CAC Inc Stmt'!L136+'AL Inc Stmt'!L136+'ESL Inc Stmt'!L136</f>
        <v>1100</v>
      </c>
      <c r="M136" s="22">
        <f>'CAC Inc Stmt'!M136+'AL Inc Stmt'!M136+'ESL Inc Stmt'!M136</f>
        <v>0</v>
      </c>
      <c r="N136" s="22">
        <f>'CAC Inc Stmt'!N136+'AL Inc Stmt'!N136+'ESL Inc Stmt'!N136</f>
        <v>0</v>
      </c>
      <c r="O136" s="22">
        <f>'CAC Inc Stmt'!O136+'AL Inc Stmt'!O136+'ESL Inc Stmt'!O136</f>
        <v>0</v>
      </c>
      <c r="P136" s="23">
        <f>'CAC Inc Stmt'!P136+'AL Inc Stmt'!P136+'ESL Inc Stmt'!P136</f>
        <v>1100</v>
      </c>
      <c r="Q136" s="81">
        <f>'CAC Inc Stmt'!Q136+'AL Inc Stmt'!Q136+'ESL Inc Stmt'!Q136</f>
        <v>1100</v>
      </c>
      <c r="R136" s="41">
        <f>P136-Q136</f>
        <v>0</v>
      </c>
      <c r="S136" s="278">
        <f>IF(Q136=0,"",P136/Q136)</f>
        <v>1</v>
      </c>
      <c r="T136" s="74">
        <f>P136-G136</f>
        <v>0</v>
      </c>
      <c r="U136" s="275">
        <f>IF(G136=0,"",P136/G136)</f>
        <v>1</v>
      </c>
    </row>
    <row r="137" spans="1:21" x14ac:dyDescent="0.3">
      <c r="C137" t="s">
        <v>368</v>
      </c>
      <c r="F137" s="14"/>
      <c r="G137" s="24">
        <f>'CAC Inc Stmt'!G137+'AL Inc Stmt'!G137+'ESL Inc Stmt'!G137</f>
        <v>367.2</v>
      </c>
      <c r="H137" s="22">
        <f>'CAC Inc Stmt'!H137+'AL Inc Stmt'!H137+'ESL Inc Stmt'!H137</f>
        <v>987.2</v>
      </c>
      <c r="I137" s="22">
        <f>'CAC Inc Stmt'!I137+'AL Inc Stmt'!I137+'ESL Inc Stmt'!I137</f>
        <v>987.2</v>
      </c>
      <c r="J137" s="22">
        <f>'CAC Inc Stmt'!J137+'AL Inc Stmt'!J137+'ESL Inc Stmt'!J137</f>
        <v>987.2</v>
      </c>
      <c r="K137" s="22">
        <f>'CAC Inc Stmt'!K137+'AL Inc Stmt'!K137+'ESL Inc Stmt'!K137</f>
        <v>987.2</v>
      </c>
      <c r="L137" s="42">
        <f>'CAC Inc Stmt'!L137+'AL Inc Stmt'!L137+'ESL Inc Stmt'!L137</f>
        <v>987.2</v>
      </c>
      <c r="M137" s="22">
        <f>'CAC Inc Stmt'!M137+'AL Inc Stmt'!M137+'ESL Inc Stmt'!M137</f>
        <v>0</v>
      </c>
      <c r="N137" s="22">
        <f>'CAC Inc Stmt'!N137+'AL Inc Stmt'!N137+'ESL Inc Stmt'!N137</f>
        <v>0</v>
      </c>
      <c r="O137" s="22">
        <f>'CAC Inc Stmt'!O137+'AL Inc Stmt'!O137+'ESL Inc Stmt'!O137</f>
        <v>0</v>
      </c>
      <c r="P137" s="23">
        <f>'CAC Inc Stmt'!P137+'AL Inc Stmt'!P137+'ESL Inc Stmt'!P137</f>
        <v>987.2</v>
      </c>
      <c r="Q137" s="81">
        <f>'CAC Inc Stmt'!Q137+'AL Inc Stmt'!Q137+'ESL Inc Stmt'!Q137</f>
        <v>987.2</v>
      </c>
      <c r="R137" s="41">
        <f>P137-Q137</f>
        <v>0</v>
      </c>
      <c r="S137" s="278">
        <f>IF(Q137=0,"",P137/Q137)</f>
        <v>1</v>
      </c>
      <c r="T137" s="74">
        <f>P137-G137</f>
        <v>620</v>
      </c>
      <c r="U137" s="275">
        <f>IF(G137=0,"",P137/G137)</f>
        <v>2.6884531590413947</v>
      </c>
    </row>
    <row r="138" spans="1:21" x14ac:dyDescent="0.3">
      <c r="C138" t="s">
        <v>369</v>
      </c>
      <c r="F138" s="14"/>
      <c r="G138" s="24">
        <f>'CAC Inc Stmt'!G138+'AL Inc Stmt'!G138+'ESL Inc Stmt'!G138</f>
        <v>1603</v>
      </c>
      <c r="H138" s="22">
        <f>'CAC Inc Stmt'!H138+'AL Inc Stmt'!H138+'ESL Inc Stmt'!H138</f>
        <v>1646</v>
      </c>
      <c r="I138" s="22">
        <f>'CAC Inc Stmt'!I138+'AL Inc Stmt'!I138+'ESL Inc Stmt'!I138</f>
        <v>1646</v>
      </c>
      <c r="J138" s="22">
        <f>'CAC Inc Stmt'!J138+'AL Inc Stmt'!J138+'ESL Inc Stmt'!J138</f>
        <v>1646</v>
      </c>
      <c r="K138" s="22">
        <f>'CAC Inc Stmt'!K138+'AL Inc Stmt'!K138+'ESL Inc Stmt'!K138</f>
        <v>1646</v>
      </c>
      <c r="L138" s="42">
        <f>'CAC Inc Stmt'!L138+'AL Inc Stmt'!L138+'ESL Inc Stmt'!L138</f>
        <v>1646</v>
      </c>
      <c r="M138" s="22">
        <f>'CAC Inc Stmt'!M138+'AL Inc Stmt'!M138+'ESL Inc Stmt'!M138</f>
        <v>0</v>
      </c>
      <c r="N138" s="22">
        <f>'CAC Inc Stmt'!N138+'AL Inc Stmt'!N138+'ESL Inc Stmt'!N138</f>
        <v>0</v>
      </c>
      <c r="O138" s="22">
        <f>'CAC Inc Stmt'!O138+'AL Inc Stmt'!O138+'ESL Inc Stmt'!O138</f>
        <v>0</v>
      </c>
      <c r="P138" s="23">
        <f>'CAC Inc Stmt'!P138+'AL Inc Stmt'!P138+'ESL Inc Stmt'!P138</f>
        <v>1646</v>
      </c>
      <c r="Q138" s="81">
        <f>'CAC Inc Stmt'!Q138+'AL Inc Stmt'!Q138+'ESL Inc Stmt'!Q138</f>
        <v>1646</v>
      </c>
      <c r="R138" s="41">
        <f>P138-Q138</f>
        <v>0</v>
      </c>
      <c r="S138" s="278">
        <f>IF(Q138=0,"",P138/Q138)</f>
        <v>1</v>
      </c>
      <c r="T138" s="74">
        <f>P138-G138</f>
        <v>43</v>
      </c>
      <c r="U138" s="275">
        <f>IF(G138=0,"",P138/G138)</f>
        <v>1.0268247036805989</v>
      </c>
    </row>
    <row r="139" spans="1:21" x14ac:dyDescent="0.3">
      <c r="F139" s="14"/>
      <c r="G139" s="24"/>
      <c r="H139" s="22"/>
      <c r="I139" s="22"/>
      <c r="J139" s="22"/>
      <c r="K139" s="22"/>
      <c r="L139" s="42"/>
      <c r="M139" s="22"/>
      <c r="N139" s="22"/>
      <c r="O139" s="22"/>
      <c r="P139" s="23"/>
      <c r="Q139" s="81"/>
      <c r="R139" s="41"/>
      <c r="S139" s="257"/>
      <c r="T139" s="74"/>
      <c r="U139" s="275"/>
    </row>
    <row r="140" spans="1:21" x14ac:dyDescent="0.3">
      <c r="C140" s="1" t="s">
        <v>187</v>
      </c>
      <c r="F140" s="14">
        <v>8520</v>
      </c>
      <c r="G140" s="44">
        <f>'CAC Inc Stmt'!G140+'AL Inc Stmt'!G140+'ESL Inc Stmt'!G140</f>
        <v>16250.200099999998</v>
      </c>
      <c r="H140" s="45">
        <f>'CAC Inc Stmt'!H140+'AL Inc Stmt'!H140+'ESL Inc Stmt'!H140</f>
        <v>17413.2</v>
      </c>
      <c r="I140" s="45">
        <f>'CAC Inc Stmt'!I140+'AL Inc Stmt'!I140+'ESL Inc Stmt'!I140</f>
        <v>22859.200000000001</v>
      </c>
      <c r="J140" s="45">
        <f>'CAC Inc Stmt'!J140+'AL Inc Stmt'!J140+'ESL Inc Stmt'!J140</f>
        <v>17413.2</v>
      </c>
      <c r="K140" s="45">
        <f>'CAC Inc Stmt'!K140+'AL Inc Stmt'!K140+'ESL Inc Stmt'!K140</f>
        <v>17413.2</v>
      </c>
      <c r="L140" s="46">
        <f>'CAC Inc Stmt'!L140+'AL Inc Stmt'!L140+'ESL Inc Stmt'!L140</f>
        <v>17413.2</v>
      </c>
      <c r="M140" s="45">
        <f>'CAC Inc Stmt'!M140+'AL Inc Stmt'!M140+'ESL Inc Stmt'!M140</f>
        <v>5446</v>
      </c>
      <c r="N140" s="45">
        <f>'CAC Inc Stmt'!N140+'AL Inc Stmt'!N140+'ESL Inc Stmt'!N140</f>
        <v>0</v>
      </c>
      <c r="O140" s="45">
        <f>'CAC Inc Stmt'!O140+'AL Inc Stmt'!O140+'ESL Inc Stmt'!O140</f>
        <v>0</v>
      </c>
      <c r="P140" s="68">
        <f>'CAC Inc Stmt'!P140+'AL Inc Stmt'!P140+'ESL Inc Stmt'!P140</f>
        <v>22859.200000000001</v>
      </c>
      <c r="Q140" s="82">
        <f>'CAC Inc Stmt'!Q140+'AL Inc Stmt'!Q140+'ESL Inc Stmt'!Q140</f>
        <v>16848.2</v>
      </c>
      <c r="R140" s="47">
        <f>SUM(R134:R139)</f>
        <v>6011</v>
      </c>
      <c r="S140" s="276">
        <f>IF(Q140=0,"",P140/Q140)</f>
        <v>1.3567740174024525</v>
      </c>
      <c r="T140" s="75">
        <f>SUM(T134:T139)</f>
        <v>6608.9999000000007</v>
      </c>
      <c r="U140" s="310">
        <f>IF(G140=0,"",P140/G140)</f>
        <v>1.4067026780796381</v>
      </c>
    </row>
    <row r="141" spans="1:21" x14ac:dyDescent="0.3">
      <c r="F141" s="14"/>
      <c r="G141" s="24"/>
      <c r="H141" s="22"/>
      <c r="I141" s="22"/>
      <c r="J141" s="22"/>
      <c r="K141" s="22"/>
      <c r="L141" s="42"/>
      <c r="M141" s="22"/>
      <c r="N141" s="22"/>
      <c r="O141" s="22"/>
      <c r="P141" s="23"/>
      <c r="Q141" s="81"/>
      <c r="R141" s="41"/>
      <c r="S141" s="257"/>
      <c r="T141" s="74"/>
      <c r="U141" s="275"/>
    </row>
    <row r="142" spans="1:21" x14ac:dyDescent="0.3">
      <c r="B142" s="1" t="s">
        <v>201</v>
      </c>
      <c r="F142" s="14"/>
      <c r="G142" s="24"/>
      <c r="H142" s="22"/>
      <c r="I142" s="22"/>
      <c r="J142" s="22"/>
      <c r="K142" s="22"/>
      <c r="L142" s="42"/>
      <c r="M142" s="22"/>
      <c r="N142" s="22"/>
      <c r="O142" s="22"/>
      <c r="P142" s="23"/>
      <c r="Q142" s="81"/>
      <c r="R142" s="41"/>
      <c r="S142" s="257"/>
      <c r="T142" s="74"/>
      <c r="U142" s="275"/>
    </row>
    <row r="143" spans="1:21" x14ac:dyDescent="0.3">
      <c r="C143" t="s">
        <v>2</v>
      </c>
      <c r="F143" s="14">
        <v>8130</v>
      </c>
      <c r="G143" s="24">
        <f>'CAC Inc Stmt'!G143+'AL Inc Stmt'!G143+'ESL Inc Stmt'!G143</f>
        <v>15804.19</v>
      </c>
      <c r="H143" s="22">
        <f>'CAC Inc Stmt'!H143+'AL Inc Stmt'!H143+'ESL Inc Stmt'!H143</f>
        <v>866.27</v>
      </c>
      <c r="I143" s="22">
        <f>'CAC Inc Stmt'!I143+'AL Inc Stmt'!I143+'ESL Inc Stmt'!I143</f>
        <v>9046.3399999999983</v>
      </c>
      <c r="J143" s="22">
        <f>'CAC Inc Stmt'!J143+'AL Inc Stmt'!J143+'ESL Inc Stmt'!J143</f>
        <v>10270.67</v>
      </c>
      <c r="K143" s="22">
        <f>'CAC Inc Stmt'!K143+'AL Inc Stmt'!K143+'ESL Inc Stmt'!K143</f>
        <v>11346.939999999999</v>
      </c>
      <c r="L143" s="42">
        <f>'CAC Inc Stmt'!L143+'AL Inc Stmt'!L143+'ESL Inc Stmt'!L143</f>
        <v>866.27</v>
      </c>
      <c r="M143" s="22">
        <f>'CAC Inc Stmt'!M143+'AL Inc Stmt'!M143+'ESL Inc Stmt'!M143</f>
        <v>8180.07</v>
      </c>
      <c r="N143" s="22">
        <f>'CAC Inc Stmt'!N143+'AL Inc Stmt'!N143+'ESL Inc Stmt'!N143</f>
        <v>1224.3300000000011</v>
      </c>
      <c r="O143" s="22">
        <f>'CAC Inc Stmt'!O143+'AL Inc Stmt'!O143+'ESL Inc Stmt'!O143</f>
        <v>1076.2699999999998</v>
      </c>
      <c r="P143" s="23">
        <f>'CAC Inc Stmt'!P143+'AL Inc Stmt'!P143+'ESL Inc Stmt'!P143</f>
        <v>11346.939999999999</v>
      </c>
      <c r="Q143" s="81">
        <f>'CAC Inc Stmt'!Q143+'AL Inc Stmt'!Q143+'ESL Inc Stmt'!Q143</f>
        <v>11523</v>
      </c>
      <c r="R143" s="41">
        <f>P143-Q143</f>
        <v>-176.06000000000131</v>
      </c>
      <c r="S143" s="278">
        <f>IF(Q143=0,"",P143/Q143)</f>
        <v>0.98472099279701453</v>
      </c>
      <c r="T143" s="74">
        <f>P143-G143</f>
        <v>-4457.2500000000018</v>
      </c>
      <c r="U143" s="275">
        <f>IF(G143=0,"",P143/G143)</f>
        <v>0.71797036102451306</v>
      </c>
    </row>
    <row r="144" spans="1:21" x14ac:dyDescent="0.3">
      <c r="C144" t="s">
        <v>48</v>
      </c>
      <c r="F144" s="14">
        <v>8221</v>
      </c>
      <c r="G144" s="24">
        <f>'CAC Inc Stmt'!G144+'AL Inc Stmt'!G144+'ESL Inc Stmt'!G144</f>
        <v>5561</v>
      </c>
      <c r="H144" s="22">
        <f>'CAC Inc Stmt'!H144+'AL Inc Stmt'!H144+'ESL Inc Stmt'!H144</f>
        <v>1618.15</v>
      </c>
      <c r="I144" s="22">
        <f>'CAC Inc Stmt'!I144+'AL Inc Stmt'!I144+'ESL Inc Stmt'!I144</f>
        <v>2317.16</v>
      </c>
      <c r="J144" s="22">
        <f>'CAC Inc Stmt'!J144+'AL Inc Stmt'!J144+'ESL Inc Stmt'!J144</f>
        <v>4225.3600000000006</v>
      </c>
      <c r="K144" s="22">
        <f>'CAC Inc Stmt'!K144+'AL Inc Stmt'!K144+'ESL Inc Stmt'!K144</f>
        <v>6371</v>
      </c>
      <c r="L144" s="42">
        <f>'CAC Inc Stmt'!L144+'AL Inc Stmt'!L144+'ESL Inc Stmt'!L144</f>
        <v>1618.15</v>
      </c>
      <c r="M144" s="22">
        <f>'CAC Inc Stmt'!M144+'AL Inc Stmt'!M144+'ESL Inc Stmt'!M144</f>
        <v>699.0100000000001</v>
      </c>
      <c r="N144" s="22">
        <f>'CAC Inc Stmt'!N144+'AL Inc Stmt'!N144+'ESL Inc Stmt'!N144</f>
        <v>1908.2</v>
      </c>
      <c r="O144" s="22">
        <f>'CAC Inc Stmt'!O144+'AL Inc Stmt'!O144+'ESL Inc Stmt'!O144</f>
        <v>2145.64</v>
      </c>
      <c r="P144" s="23">
        <f>'CAC Inc Stmt'!P144+'AL Inc Stmt'!P144+'ESL Inc Stmt'!P144</f>
        <v>6371</v>
      </c>
      <c r="Q144" s="81">
        <f>'CAC Inc Stmt'!Q144+'AL Inc Stmt'!Q144+'ESL Inc Stmt'!Q144</f>
        <v>5662</v>
      </c>
      <c r="R144" s="41">
        <f>P144-Q144</f>
        <v>709</v>
      </c>
      <c r="S144" s="278">
        <f>IF(Q144=0,"",P144/Q144)</f>
        <v>1.1252207700459202</v>
      </c>
      <c r="T144" s="74">
        <f>P144-G144</f>
        <v>810</v>
      </c>
      <c r="U144" s="275">
        <f>IF(G144=0,"",P144/G144)</f>
        <v>1.1456572558892286</v>
      </c>
    </row>
    <row r="145" spans="2:21" x14ac:dyDescent="0.3">
      <c r="C145" t="s">
        <v>49</v>
      </c>
      <c r="F145" s="14">
        <v>8223</v>
      </c>
      <c r="G145" s="24">
        <f>'CAC Inc Stmt'!G145+'AL Inc Stmt'!G145+'ESL Inc Stmt'!G145</f>
        <v>4021</v>
      </c>
      <c r="H145" s="22">
        <f>'CAC Inc Stmt'!H145+'AL Inc Stmt'!H145+'ESL Inc Stmt'!H145</f>
        <v>736.61</v>
      </c>
      <c r="I145" s="22">
        <f>'CAC Inc Stmt'!I145+'AL Inc Stmt'!I145+'ESL Inc Stmt'!I145</f>
        <v>1793</v>
      </c>
      <c r="J145" s="22">
        <f>'CAC Inc Stmt'!J145+'AL Inc Stmt'!J145+'ESL Inc Stmt'!J145</f>
        <v>3201</v>
      </c>
      <c r="K145" s="22">
        <f>'CAC Inc Stmt'!K145+'AL Inc Stmt'!K145+'ESL Inc Stmt'!K145</f>
        <v>4257</v>
      </c>
      <c r="L145" s="42">
        <f>'CAC Inc Stmt'!L145+'AL Inc Stmt'!L145+'ESL Inc Stmt'!L145</f>
        <v>736.61</v>
      </c>
      <c r="M145" s="22">
        <f>'CAC Inc Stmt'!M145+'AL Inc Stmt'!M145+'ESL Inc Stmt'!M145</f>
        <v>1056.3899999999999</v>
      </c>
      <c r="N145" s="22">
        <f>'CAC Inc Stmt'!N145+'AL Inc Stmt'!N145+'ESL Inc Stmt'!N145</f>
        <v>1408</v>
      </c>
      <c r="O145" s="22">
        <f>'CAC Inc Stmt'!O145+'AL Inc Stmt'!O145+'ESL Inc Stmt'!O145</f>
        <v>1056</v>
      </c>
      <c r="P145" s="23">
        <f>'CAC Inc Stmt'!P145+'AL Inc Stmt'!P145+'ESL Inc Stmt'!P145</f>
        <v>4257</v>
      </c>
      <c r="Q145" s="81">
        <f>'CAC Inc Stmt'!Q145+'AL Inc Stmt'!Q145+'ESL Inc Stmt'!Q145</f>
        <v>4135</v>
      </c>
      <c r="R145" s="41">
        <f>P145-Q145</f>
        <v>122</v>
      </c>
      <c r="S145" s="278">
        <f>IF(Q145=0,"",P145/Q145)</f>
        <v>1.0295042321644499</v>
      </c>
      <c r="T145" s="74">
        <f>P145-G145</f>
        <v>236</v>
      </c>
      <c r="U145" s="275">
        <f>IF(G145=0,"",P145/G145)</f>
        <v>1.0586918676946033</v>
      </c>
    </row>
    <row r="146" spans="2:21" x14ac:dyDescent="0.3">
      <c r="C146" t="s">
        <v>50</v>
      </c>
      <c r="F146" s="14"/>
      <c r="G146" s="24">
        <f>'CAC Inc Stmt'!G146+'AL Inc Stmt'!G146+'ESL Inc Stmt'!G146</f>
        <v>0</v>
      </c>
      <c r="H146" s="22">
        <f>'CAC Inc Stmt'!H146+'AL Inc Stmt'!H146+'ESL Inc Stmt'!H146</f>
        <v>0</v>
      </c>
      <c r="I146" s="22">
        <f>'CAC Inc Stmt'!I146+'AL Inc Stmt'!I146+'ESL Inc Stmt'!I146</f>
        <v>0</v>
      </c>
      <c r="J146" s="22">
        <f>'CAC Inc Stmt'!J146+'AL Inc Stmt'!J146+'ESL Inc Stmt'!J146</f>
        <v>0</v>
      </c>
      <c r="K146" s="22">
        <f>'CAC Inc Stmt'!K146+'AL Inc Stmt'!K146+'ESL Inc Stmt'!K146</f>
        <v>0</v>
      </c>
      <c r="L146" s="42">
        <f>'CAC Inc Stmt'!L146+'AL Inc Stmt'!L146+'ESL Inc Stmt'!L146</f>
        <v>0</v>
      </c>
      <c r="M146" s="22">
        <f>'CAC Inc Stmt'!M146+'AL Inc Stmt'!M146+'ESL Inc Stmt'!M146</f>
        <v>0</v>
      </c>
      <c r="N146" s="22">
        <f>'CAC Inc Stmt'!N146+'AL Inc Stmt'!N146+'ESL Inc Stmt'!N146</f>
        <v>0</v>
      </c>
      <c r="O146" s="22">
        <f>'CAC Inc Stmt'!O146+'AL Inc Stmt'!O146+'ESL Inc Stmt'!O146</f>
        <v>0</v>
      </c>
      <c r="P146" s="23">
        <f>'CAC Inc Stmt'!P146+'AL Inc Stmt'!P146+'ESL Inc Stmt'!P146</f>
        <v>0</v>
      </c>
      <c r="Q146" s="81">
        <f>'CAC Inc Stmt'!Q146+'AL Inc Stmt'!Q146+'ESL Inc Stmt'!Q146</f>
        <v>0</v>
      </c>
      <c r="R146" s="41">
        <f>P146-Q146</f>
        <v>0</v>
      </c>
      <c r="S146" s="278" t="str">
        <f>IF(Q146=0,"",P146/Q146)</f>
        <v/>
      </c>
      <c r="T146" s="74">
        <f>P146-G146</f>
        <v>0</v>
      </c>
      <c r="U146" s="275" t="str">
        <f>IF(G146=0,"",P146/G146)</f>
        <v/>
      </c>
    </row>
    <row r="147" spans="2:21" x14ac:dyDescent="0.3">
      <c r="F147" s="14"/>
      <c r="G147" s="24"/>
      <c r="H147" s="22"/>
      <c r="I147" s="22"/>
      <c r="J147" s="22"/>
      <c r="K147" s="22"/>
      <c r="L147" s="42"/>
      <c r="M147" s="22"/>
      <c r="N147" s="22"/>
      <c r="O147" s="22"/>
      <c r="P147" s="23"/>
      <c r="Q147" s="81"/>
      <c r="R147" s="41">
        <f>P147-Q147</f>
        <v>0</v>
      </c>
      <c r="S147" s="278" t="str">
        <f>IF(Q147=0,"",P147/Q147)</f>
        <v/>
      </c>
      <c r="T147" s="74">
        <f>P147-G147</f>
        <v>0</v>
      </c>
      <c r="U147" s="275" t="str">
        <f>IF(G147=0,"",P147/G147)</f>
        <v/>
      </c>
    </row>
    <row r="148" spans="2:21" x14ac:dyDescent="0.3">
      <c r="F148" s="14"/>
      <c r="G148" s="24"/>
      <c r="H148" s="22"/>
      <c r="I148" s="22"/>
      <c r="J148" s="22"/>
      <c r="K148" s="22"/>
      <c r="L148" s="42"/>
      <c r="M148" s="22"/>
      <c r="N148" s="22"/>
      <c r="O148" s="22"/>
      <c r="P148" s="23"/>
      <c r="Q148" s="81"/>
      <c r="R148" s="41"/>
      <c r="S148" s="257"/>
      <c r="T148" s="74"/>
      <c r="U148" s="275"/>
    </row>
    <row r="149" spans="2:21" x14ac:dyDescent="0.3">
      <c r="C149" s="1" t="s">
        <v>57</v>
      </c>
      <c r="F149" s="14"/>
      <c r="G149" s="44">
        <f>'CAC Inc Stmt'!G149+'AL Inc Stmt'!G149+'ESL Inc Stmt'!G149</f>
        <v>26128.190000000002</v>
      </c>
      <c r="H149" s="45">
        <f>'CAC Inc Stmt'!H149+'AL Inc Stmt'!H149+'ESL Inc Stmt'!H149</f>
        <v>3477.03</v>
      </c>
      <c r="I149" s="45">
        <f>'CAC Inc Stmt'!I149+'AL Inc Stmt'!I149+'ESL Inc Stmt'!I149</f>
        <v>14232.06</v>
      </c>
      <c r="J149" s="45">
        <f>'CAC Inc Stmt'!J149+'AL Inc Stmt'!J149+'ESL Inc Stmt'!J149</f>
        <v>18360.09</v>
      </c>
      <c r="K149" s="45">
        <f>'CAC Inc Stmt'!K149+'AL Inc Stmt'!K149+'ESL Inc Stmt'!K149</f>
        <v>22778.94</v>
      </c>
      <c r="L149" s="46">
        <f>'CAC Inc Stmt'!L149+'AL Inc Stmt'!L149+'ESL Inc Stmt'!L149</f>
        <v>3477.03</v>
      </c>
      <c r="M149" s="45">
        <f>'CAC Inc Stmt'!M149+'AL Inc Stmt'!M149+'ESL Inc Stmt'!M149</f>
        <v>10755.029999999999</v>
      </c>
      <c r="N149" s="45">
        <f>'CAC Inc Stmt'!N149+'AL Inc Stmt'!N149+'ESL Inc Stmt'!N149</f>
        <v>4796.0300000000007</v>
      </c>
      <c r="O149" s="45">
        <f>'CAC Inc Stmt'!O149+'AL Inc Stmt'!O149+'ESL Inc Stmt'!O149</f>
        <v>4418.8499999999995</v>
      </c>
      <c r="P149" s="68">
        <f>'CAC Inc Stmt'!P149+'AL Inc Stmt'!P149+'ESL Inc Stmt'!P149</f>
        <v>23446.94</v>
      </c>
      <c r="Q149" s="82">
        <f>'CAC Inc Stmt'!Q149+'AL Inc Stmt'!Q149+'ESL Inc Stmt'!Q149</f>
        <v>22367</v>
      </c>
      <c r="R149" s="47">
        <f>SUM(R143:R148)</f>
        <v>654.93999999999869</v>
      </c>
      <c r="S149" s="276">
        <f>IF(Q149=0,"",P149/Q149)</f>
        <v>1.0482827379621764</v>
      </c>
      <c r="T149" s="75">
        <f>SUM(T143:T148)</f>
        <v>-3411.2500000000018</v>
      </c>
      <c r="U149" s="310">
        <f>IF(G149=0,"",P149/G149)</f>
        <v>0.89738095137856844</v>
      </c>
    </row>
    <row r="150" spans="2:21" x14ac:dyDescent="0.3">
      <c r="F150" s="14"/>
      <c r="G150" s="24"/>
      <c r="H150" s="22"/>
      <c r="I150" s="22"/>
      <c r="J150" s="22"/>
      <c r="K150" s="22"/>
      <c r="L150" s="42"/>
      <c r="M150" s="22"/>
      <c r="N150" s="22"/>
      <c r="O150" s="22"/>
      <c r="P150" s="23"/>
      <c r="Q150" s="81"/>
      <c r="R150" s="41"/>
      <c r="S150" s="257"/>
      <c r="T150" s="74"/>
      <c r="U150" s="275"/>
    </row>
    <row r="151" spans="2:21" x14ac:dyDescent="0.3">
      <c r="B151" s="1" t="s">
        <v>51</v>
      </c>
      <c r="F151" s="14"/>
      <c r="G151" s="24"/>
      <c r="H151" s="22"/>
      <c r="I151" s="22"/>
      <c r="J151" s="22"/>
      <c r="K151" s="22"/>
      <c r="L151" s="42"/>
      <c r="M151" s="22"/>
      <c r="N151" s="22"/>
      <c r="O151" s="22"/>
      <c r="P151" s="23"/>
      <c r="Q151" s="81"/>
      <c r="R151" s="41"/>
      <c r="S151" s="257"/>
      <c r="T151" s="74"/>
      <c r="U151" s="275"/>
    </row>
    <row r="152" spans="2:21" x14ac:dyDescent="0.3">
      <c r="C152" t="s">
        <v>52</v>
      </c>
      <c r="F152" s="14" t="s">
        <v>208</v>
      </c>
      <c r="G152" s="24">
        <f>'CAC Inc Stmt'!G152+'AL Inc Stmt'!G152+'ESL Inc Stmt'!G152</f>
        <v>1626</v>
      </c>
      <c r="H152" s="22">
        <f>'CAC Inc Stmt'!H152+'AL Inc Stmt'!H152+'ESL Inc Stmt'!H152</f>
        <v>320.44</v>
      </c>
      <c r="I152" s="22">
        <f>'CAC Inc Stmt'!I152+'AL Inc Stmt'!I152+'ESL Inc Stmt'!I152</f>
        <v>684</v>
      </c>
      <c r="J152" s="22">
        <f>'CAC Inc Stmt'!J152+'AL Inc Stmt'!J152+'ESL Inc Stmt'!J152</f>
        <v>1108</v>
      </c>
      <c r="K152" s="22">
        <f>'CAC Inc Stmt'!K152+'AL Inc Stmt'!K152+'ESL Inc Stmt'!K152</f>
        <v>1579</v>
      </c>
      <c r="L152" s="42">
        <f>'CAC Inc Stmt'!L152+'AL Inc Stmt'!L152+'ESL Inc Stmt'!L152</f>
        <v>320.44</v>
      </c>
      <c r="M152" s="22">
        <f>'CAC Inc Stmt'!M152+'AL Inc Stmt'!M152+'ESL Inc Stmt'!M152</f>
        <v>363.56</v>
      </c>
      <c r="N152" s="22">
        <f>'CAC Inc Stmt'!N152+'AL Inc Stmt'!N152+'ESL Inc Stmt'!N152</f>
        <v>424</v>
      </c>
      <c r="O152" s="22">
        <f>'CAC Inc Stmt'!O152+'AL Inc Stmt'!O152+'ESL Inc Stmt'!O152</f>
        <v>471</v>
      </c>
      <c r="P152" s="23">
        <f>'CAC Inc Stmt'!P152+'AL Inc Stmt'!P152+'ESL Inc Stmt'!P152</f>
        <v>1579</v>
      </c>
      <c r="Q152" s="81">
        <f>'CAC Inc Stmt'!Q152+'AL Inc Stmt'!Q152+'ESL Inc Stmt'!Q152</f>
        <v>1911</v>
      </c>
      <c r="R152" s="41">
        <f t="shared" ref="R152:R157" si="24">P152-Q152</f>
        <v>-332</v>
      </c>
      <c r="S152" s="278">
        <f>IF(Q152=0,"",P152/Q152)</f>
        <v>0.82626896912611203</v>
      </c>
      <c r="T152" s="74">
        <f t="shared" ref="T152:T157" si="25">P152-G152</f>
        <v>-47</v>
      </c>
      <c r="U152" s="275">
        <f>IF(G152=0,"",P152/G152)</f>
        <v>0.97109471094710942</v>
      </c>
    </row>
    <row r="153" spans="2:21" x14ac:dyDescent="0.3">
      <c r="C153" t="s">
        <v>53</v>
      </c>
      <c r="F153" s="14" t="s">
        <v>209</v>
      </c>
      <c r="G153" s="24">
        <f>'CAC Inc Stmt'!G153+'AL Inc Stmt'!G153+'ESL Inc Stmt'!G153</f>
        <v>2396</v>
      </c>
      <c r="H153" s="22">
        <f>'CAC Inc Stmt'!H153+'AL Inc Stmt'!H153+'ESL Inc Stmt'!H153</f>
        <v>788.08</v>
      </c>
      <c r="I153" s="22">
        <f>'CAC Inc Stmt'!I153+'AL Inc Stmt'!I153+'ESL Inc Stmt'!I153</f>
        <v>1436.94</v>
      </c>
      <c r="J153" s="22">
        <f>'CAC Inc Stmt'!J153+'AL Inc Stmt'!J153+'ESL Inc Stmt'!J153</f>
        <v>2246.71</v>
      </c>
      <c r="K153" s="22">
        <f>'CAC Inc Stmt'!K153+'AL Inc Stmt'!K153+'ESL Inc Stmt'!K153</f>
        <v>2378</v>
      </c>
      <c r="L153" s="42">
        <f>'CAC Inc Stmt'!L153+'AL Inc Stmt'!L153+'ESL Inc Stmt'!L153</f>
        <v>788.08</v>
      </c>
      <c r="M153" s="22">
        <f>'CAC Inc Stmt'!M153+'AL Inc Stmt'!M153+'ESL Inc Stmt'!M153</f>
        <v>648.86</v>
      </c>
      <c r="N153" s="22">
        <f>'CAC Inc Stmt'!N153+'AL Inc Stmt'!N153+'ESL Inc Stmt'!N153</f>
        <v>809.77</v>
      </c>
      <c r="O153" s="22">
        <f>'CAC Inc Stmt'!O153+'AL Inc Stmt'!O153+'ESL Inc Stmt'!O153</f>
        <v>131.28999999999996</v>
      </c>
      <c r="P153" s="23">
        <f>'CAC Inc Stmt'!P153+'AL Inc Stmt'!P153+'ESL Inc Stmt'!P153</f>
        <v>2378</v>
      </c>
      <c r="Q153" s="81">
        <f>'CAC Inc Stmt'!Q153+'AL Inc Stmt'!Q153+'ESL Inc Stmt'!Q153</f>
        <v>2726</v>
      </c>
      <c r="R153" s="41">
        <f t="shared" si="24"/>
        <v>-348</v>
      </c>
      <c r="S153" s="278">
        <f>IF(Q153=0,"",P153/Q153)</f>
        <v>0.87234042553191493</v>
      </c>
      <c r="T153" s="74">
        <f t="shared" si="25"/>
        <v>-18</v>
      </c>
      <c r="U153" s="275">
        <f>IF(G153=0,"",P153/G153)</f>
        <v>0.99248747913188651</v>
      </c>
    </row>
    <row r="154" spans="2:21" x14ac:dyDescent="0.3">
      <c r="C154" t="s">
        <v>54</v>
      </c>
      <c r="F154" s="14" t="s">
        <v>210</v>
      </c>
      <c r="G154" s="24">
        <f>'CAC Inc Stmt'!G154+'AL Inc Stmt'!G154+'ESL Inc Stmt'!G154</f>
        <v>995</v>
      </c>
      <c r="H154" s="22">
        <f>'CAC Inc Stmt'!H154+'AL Inc Stmt'!H154+'ESL Inc Stmt'!H154</f>
        <v>698.92000000000007</v>
      </c>
      <c r="I154" s="22">
        <f>'CAC Inc Stmt'!I154+'AL Inc Stmt'!I154+'ESL Inc Stmt'!I154</f>
        <v>1330.02</v>
      </c>
      <c r="J154" s="22">
        <f>'CAC Inc Stmt'!J154+'AL Inc Stmt'!J154+'ESL Inc Stmt'!J154</f>
        <v>1560.77</v>
      </c>
      <c r="K154" s="22">
        <f>'CAC Inc Stmt'!K154+'AL Inc Stmt'!K154+'ESL Inc Stmt'!K154</f>
        <v>2005.71</v>
      </c>
      <c r="L154" s="42">
        <f>'CAC Inc Stmt'!L154+'AL Inc Stmt'!L154+'ESL Inc Stmt'!L154</f>
        <v>698.92000000000007</v>
      </c>
      <c r="M154" s="22">
        <f>'CAC Inc Stmt'!M154+'AL Inc Stmt'!M154+'ESL Inc Stmt'!M154</f>
        <v>631.09999999999991</v>
      </c>
      <c r="N154" s="22">
        <f>'CAC Inc Stmt'!N154+'AL Inc Stmt'!N154+'ESL Inc Stmt'!N154</f>
        <v>230.75</v>
      </c>
      <c r="O154" s="22">
        <f>'CAC Inc Stmt'!O154+'AL Inc Stmt'!O154+'ESL Inc Stmt'!O154</f>
        <v>444.94000000000005</v>
      </c>
      <c r="P154" s="23">
        <f>'CAC Inc Stmt'!P154+'AL Inc Stmt'!P154+'ESL Inc Stmt'!P154</f>
        <v>2005.71</v>
      </c>
      <c r="Q154" s="81">
        <f>'CAC Inc Stmt'!Q154+'AL Inc Stmt'!Q154+'ESL Inc Stmt'!Q154</f>
        <v>1128</v>
      </c>
      <c r="R154" s="41">
        <f t="shared" si="24"/>
        <v>877.71</v>
      </c>
      <c r="S154" s="278">
        <f>IF(Q154=0,"",P154/Q154)</f>
        <v>1.7781117021276596</v>
      </c>
      <c r="T154" s="74">
        <f t="shared" si="25"/>
        <v>1010.71</v>
      </c>
      <c r="U154" s="275">
        <f>IF(G154=0,"",P154/G154)</f>
        <v>2.0157889447236181</v>
      </c>
    </row>
    <row r="155" spans="2:21" x14ac:dyDescent="0.3">
      <c r="C155" t="s">
        <v>55</v>
      </c>
      <c r="F155" s="14" t="s">
        <v>211</v>
      </c>
      <c r="G155" s="24">
        <f>'CAC Inc Stmt'!G155+'AL Inc Stmt'!G155+'ESL Inc Stmt'!G155</f>
        <v>148</v>
      </c>
      <c r="H155" s="22">
        <f>'CAC Inc Stmt'!H155+'AL Inc Stmt'!H155+'ESL Inc Stmt'!H155</f>
        <v>0</v>
      </c>
      <c r="I155" s="22">
        <f>'CAC Inc Stmt'!I155+'AL Inc Stmt'!I155+'ESL Inc Stmt'!I155</f>
        <v>0</v>
      </c>
      <c r="J155" s="22">
        <f>'CAC Inc Stmt'!J155+'AL Inc Stmt'!J155+'ESL Inc Stmt'!J155</f>
        <v>0</v>
      </c>
      <c r="K155" s="22">
        <f>'CAC Inc Stmt'!K155+'AL Inc Stmt'!K155+'ESL Inc Stmt'!K155</f>
        <v>0</v>
      </c>
      <c r="L155" s="42">
        <f>'CAC Inc Stmt'!L155+'AL Inc Stmt'!L155+'ESL Inc Stmt'!L155</f>
        <v>0</v>
      </c>
      <c r="M155" s="22">
        <f>'CAC Inc Stmt'!M155+'AL Inc Stmt'!M155+'ESL Inc Stmt'!M155</f>
        <v>0</v>
      </c>
      <c r="N155" s="22">
        <f>'CAC Inc Stmt'!N155+'AL Inc Stmt'!N155+'ESL Inc Stmt'!N155</f>
        <v>0</v>
      </c>
      <c r="O155" s="22">
        <f>'CAC Inc Stmt'!O155+'AL Inc Stmt'!O155+'ESL Inc Stmt'!O155</f>
        <v>0</v>
      </c>
      <c r="P155" s="23">
        <f>'CAC Inc Stmt'!P155+'AL Inc Stmt'!P155+'ESL Inc Stmt'!P155</f>
        <v>0</v>
      </c>
      <c r="Q155" s="81">
        <f>'CAC Inc Stmt'!Q155+'AL Inc Stmt'!Q155+'ESL Inc Stmt'!Q155</f>
        <v>150</v>
      </c>
      <c r="R155" s="41">
        <f t="shared" si="24"/>
        <v>-150</v>
      </c>
      <c r="S155" s="278">
        <f>IF(Q155=0,"",P155/Q155)</f>
        <v>0</v>
      </c>
      <c r="T155" s="74">
        <f t="shared" si="25"/>
        <v>-148</v>
      </c>
      <c r="U155" s="275">
        <f>IF(G155=0,"",P155/G155)</f>
        <v>0</v>
      </c>
    </row>
    <row r="156" spans="2:21" x14ac:dyDescent="0.3">
      <c r="C156" t="s">
        <v>216</v>
      </c>
      <c r="F156" s="14"/>
      <c r="G156" s="24">
        <f>'CAC Inc Stmt'!G156+'AL Inc Stmt'!G156+'ESL Inc Stmt'!G156</f>
        <v>1104</v>
      </c>
      <c r="H156" s="22">
        <f>'CAC Inc Stmt'!H156+'AL Inc Stmt'!H156+'ESL Inc Stmt'!H156</f>
        <v>132</v>
      </c>
      <c r="I156" s="22">
        <f>'CAC Inc Stmt'!I156+'AL Inc Stmt'!I156+'ESL Inc Stmt'!I156</f>
        <v>1532.6100000000001</v>
      </c>
      <c r="J156" s="22">
        <f>'CAC Inc Stmt'!J156+'AL Inc Stmt'!J156+'ESL Inc Stmt'!J156</f>
        <v>1570.74</v>
      </c>
      <c r="K156" s="22">
        <f>'CAC Inc Stmt'!K156+'AL Inc Stmt'!K156+'ESL Inc Stmt'!K156</f>
        <v>2013</v>
      </c>
      <c r="L156" s="42">
        <f>'CAC Inc Stmt'!L156+'AL Inc Stmt'!L156+'ESL Inc Stmt'!L156</f>
        <v>132</v>
      </c>
      <c r="M156" s="22">
        <f>'CAC Inc Stmt'!M156+'AL Inc Stmt'!M156+'ESL Inc Stmt'!M156</f>
        <v>1400.6100000000001</v>
      </c>
      <c r="N156" s="22">
        <f>'CAC Inc Stmt'!N156+'AL Inc Stmt'!N156+'ESL Inc Stmt'!N156</f>
        <v>38.129999999999995</v>
      </c>
      <c r="O156" s="22">
        <f>'CAC Inc Stmt'!O156+'AL Inc Stmt'!O156+'ESL Inc Stmt'!O156</f>
        <v>442.26</v>
      </c>
      <c r="P156" s="23">
        <f>'CAC Inc Stmt'!P156+'AL Inc Stmt'!P156+'ESL Inc Stmt'!P156</f>
        <v>2013</v>
      </c>
      <c r="Q156" s="81">
        <f>'CAC Inc Stmt'!Q156+'AL Inc Stmt'!Q156+'ESL Inc Stmt'!Q156</f>
        <v>975</v>
      </c>
      <c r="R156" s="41">
        <f t="shared" si="24"/>
        <v>1038</v>
      </c>
      <c r="S156" s="278">
        <f>IF(Q156=0,"",P156/Q156)</f>
        <v>2.0646153846153847</v>
      </c>
      <c r="T156" s="74">
        <f t="shared" si="25"/>
        <v>909</v>
      </c>
      <c r="U156" s="275">
        <f>IF(G156=0,"",P156/G156)</f>
        <v>1.8233695652173914</v>
      </c>
    </row>
    <row r="157" spans="2:21" x14ac:dyDescent="0.3">
      <c r="C157" t="s">
        <v>424</v>
      </c>
      <c r="F157" s="14"/>
      <c r="G157" s="24">
        <f>'CAC Inc Stmt'!G157+'AL Inc Stmt'!G157+'ESL Inc Stmt'!G157</f>
        <v>950</v>
      </c>
      <c r="H157" s="22">
        <f>'CAC Inc Stmt'!H157+'AL Inc Stmt'!H157+'ESL Inc Stmt'!H157</f>
        <v>0</v>
      </c>
      <c r="I157" s="22">
        <f>'CAC Inc Stmt'!I157+'AL Inc Stmt'!I157+'ESL Inc Stmt'!I157</f>
        <v>0</v>
      </c>
      <c r="J157" s="22">
        <f>'CAC Inc Stmt'!J157+'AL Inc Stmt'!J157+'ESL Inc Stmt'!J157</f>
        <v>0</v>
      </c>
      <c r="K157" s="22">
        <f>'CAC Inc Stmt'!K157+'AL Inc Stmt'!K157+'ESL Inc Stmt'!K157</f>
        <v>0</v>
      </c>
      <c r="L157" s="42">
        <f>'CAC Inc Stmt'!L157+'AL Inc Stmt'!L157+'ESL Inc Stmt'!L157</f>
        <v>0</v>
      </c>
      <c r="M157" s="22">
        <f>'CAC Inc Stmt'!M157+'AL Inc Stmt'!M157+'ESL Inc Stmt'!M157</f>
        <v>0</v>
      </c>
      <c r="N157" s="22">
        <f>'CAC Inc Stmt'!N157+'AL Inc Stmt'!N157+'ESL Inc Stmt'!N157</f>
        <v>0</v>
      </c>
      <c r="O157" s="22">
        <f>'CAC Inc Stmt'!O157+'AL Inc Stmt'!O157+'ESL Inc Stmt'!O157</f>
        <v>0</v>
      </c>
      <c r="P157" s="23">
        <f>'CAC Inc Stmt'!P157+'AL Inc Stmt'!P157+'ESL Inc Stmt'!P157</f>
        <v>0</v>
      </c>
      <c r="Q157" s="81">
        <f>'CAC Inc Stmt'!Q157+'AL Inc Stmt'!Q157+'ESL Inc Stmt'!Q157</f>
        <v>900</v>
      </c>
      <c r="R157" s="41">
        <f t="shared" si="24"/>
        <v>-900</v>
      </c>
      <c r="S157" s="257"/>
      <c r="T157" s="74">
        <f t="shared" si="25"/>
        <v>-950</v>
      </c>
      <c r="U157" s="275"/>
    </row>
    <row r="158" spans="2:21" x14ac:dyDescent="0.3">
      <c r="C158" s="1" t="s">
        <v>56</v>
      </c>
      <c r="F158" s="14"/>
      <c r="G158" s="44">
        <f>'CAC Inc Stmt'!G158+'AL Inc Stmt'!G158+'ESL Inc Stmt'!G158</f>
        <v>7219</v>
      </c>
      <c r="H158" s="45">
        <f>'CAC Inc Stmt'!H158+'AL Inc Stmt'!H158+'ESL Inc Stmt'!H158</f>
        <v>1939.44</v>
      </c>
      <c r="I158" s="45">
        <f>'CAC Inc Stmt'!I158+'AL Inc Stmt'!I158+'ESL Inc Stmt'!I158</f>
        <v>4983.57</v>
      </c>
      <c r="J158" s="45">
        <f>'CAC Inc Stmt'!J158+'AL Inc Stmt'!J158+'ESL Inc Stmt'!J158</f>
        <v>6486.22</v>
      </c>
      <c r="K158" s="45">
        <f>'CAC Inc Stmt'!K158+'AL Inc Stmt'!K158+'ESL Inc Stmt'!K158</f>
        <v>7975.71</v>
      </c>
      <c r="L158" s="46">
        <f>'CAC Inc Stmt'!L158+'AL Inc Stmt'!L158+'ESL Inc Stmt'!L158</f>
        <v>1939.44</v>
      </c>
      <c r="M158" s="45">
        <f>'CAC Inc Stmt'!M158+'AL Inc Stmt'!M158+'ESL Inc Stmt'!M158</f>
        <v>3044.13</v>
      </c>
      <c r="N158" s="45">
        <f>'CAC Inc Stmt'!N158+'AL Inc Stmt'!N158+'ESL Inc Stmt'!N158</f>
        <v>1502.65</v>
      </c>
      <c r="O158" s="45">
        <f>'CAC Inc Stmt'!O158+'AL Inc Stmt'!O158+'ESL Inc Stmt'!O158</f>
        <v>1489.49</v>
      </c>
      <c r="P158" s="68">
        <f>'CAC Inc Stmt'!P158+'AL Inc Stmt'!P158+'ESL Inc Stmt'!P158</f>
        <v>7975.71</v>
      </c>
      <c r="Q158" s="82">
        <f>'CAC Inc Stmt'!Q158+'AL Inc Stmt'!Q158+'ESL Inc Stmt'!Q158</f>
        <v>7790</v>
      </c>
      <c r="R158" s="47">
        <f>SUM(R152:R157)</f>
        <v>185.71000000000004</v>
      </c>
      <c r="S158" s="276">
        <f>IF(Q158=0,"",P158/Q158)</f>
        <v>1.023839537869063</v>
      </c>
      <c r="T158" s="75">
        <f>SUM(T152:T157)</f>
        <v>756.71</v>
      </c>
      <c r="U158" s="310">
        <f>IF(G158=0,"",P158/G158)</f>
        <v>1.1048219975065798</v>
      </c>
    </row>
    <row r="159" spans="2:21" x14ac:dyDescent="0.3">
      <c r="F159" s="14"/>
      <c r="G159" s="24"/>
      <c r="H159" s="22"/>
      <c r="I159" s="22"/>
      <c r="J159" s="22"/>
      <c r="K159" s="22"/>
      <c r="L159" s="42"/>
      <c r="M159" s="22"/>
      <c r="N159" s="22"/>
      <c r="O159" s="22"/>
      <c r="P159" s="23"/>
      <c r="Q159" s="81"/>
      <c r="R159" s="41"/>
      <c r="S159" s="257"/>
      <c r="T159" s="74"/>
      <c r="U159" s="275"/>
    </row>
    <row r="160" spans="2:21" x14ac:dyDescent="0.3">
      <c r="B160" s="1" t="s">
        <v>188</v>
      </c>
      <c r="F160" s="14"/>
      <c r="G160" s="24"/>
      <c r="H160" s="22"/>
      <c r="I160" s="22"/>
      <c r="J160" s="22"/>
      <c r="K160" s="22"/>
      <c r="L160" s="42"/>
      <c r="M160" s="22"/>
      <c r="N160" s="22"/>
      <c r="O160" s="22"/>
      <c r="P160" s="23"/>
      <c r="Q160" s="81"/>
      <c r="R160" s="41"/>
      <c r="S160" s="257"/>
      <c r="T160" s="74"/>
      <c r="U160" s="275"/>
    </row>
    <row r="161" spans="1:21" x14ac:dyDescent="0.3">
      <c r="C161" t="s">
        <v>98</v>
      </c>
      <c r="F161" s="14" t="s">
        <v>205</v>
      </c>
      <c r="G161" s="24">
        <f>'CAC Inc Stmt'!G161+'AL Inc Stmt'!G161+'ESL Inc Stmt'!G161</f>
        <v>27</v>
      </c>
      <c r="H161" s="22">
        <f>'CAC Inc Stmt'!H161+'AL Inc Stmt'!H161+'ESL Inc Stmt'!H161</f>
        <v>3</v>
      </c>
      <c r="I161" s="22">
        <f>'CAC Inc Stmt'!I161+'AL Inc Stmt'!I161+'ESL Inc Stmt'!I161</f>
        <v>3</v>
      </c>
      <c r="J161" s="22">
        <f>'CAC Inc Stmt'!J161+'AL Inc Stmt'!J161+'ESL Inc Stmt'!J161</f>
        <v>3</v>
      </c>
      <c r="K161" s="22">
        <f>'CAC Inc Stmt'!K161+'AL Inc Stmt'!K161+'ESL Inc Stmt'!K161</f>
        <v>3</v>
      </c>
      <c r="L161" s="42">
        <f>'CAC Inc Stmt'!L161+'AL Inc Stmt'!L161+'ESL Inc Stmt'!L161</f>
        <v>3</v>
      </c>
      <c r="M161" s="22">
        <f>'CAC Inc Stmt'!M161+'AL Inc Stmt'!M161+'ESL Inc Stmt'!M161</f>
        <v>0</v>
      </c>
      <c r="N161" s="22">
        <f>'CAC Inc Stmt'!N161+'AL Inc Stmt'!N161+'ESL Inc Stmt'!N161</f>
        <v>0</v>
      </c>
      <c r="O161" s="22">
        <f>'CAC Inc Stmt'!O161+'AL Inc Stmt'!O161+'ESL Inc Stmt'!O161</f>
        <v>0</v>
      </c>
      <c r="P161" s="23">
        <f>'CAC Inc Stmt'!P161+'AL Inc Stmt'!P161+'ESL Inc Stmt'!P161</f>
        <v>3</v>
      </c>
      <c r="Q161" s="81">
        <f>'CAC Inc Stmt'!Q161+'AL Inc Stmt'!Q161+'ESL Inc Stmt'!Q161</f>
        <v>75</v>
      </c>
      <c r="R161" s="41">
        <f>P161-Q161</f>
        <v>-72</v>
      </c>
      <c r="S161" s="278">
        <f>IF(Q161=0,"",P161/Q161)</f>
        <v>0.04</v>
      </c>
      <c r="T161" s="74">
        <f>P161-G161</f>
        <v>-24</v>
      </c>
      <c r="U161" s="275">
        <f>IF(G161=0,"",P161/G161)</f>
        <v>0.1111111111111111</v>
      </c>
    </row>
    <row r="162" spans="1:21" x14ac:dyDescent="0.3">
      <c r="C162" t="s">
        <v>190</v>
      </c>
      <c r="F162" s="14" t="s">
        <v>206</v>
      </c>
      <c r="G162" s="24">
        <f>'CAC Inc Stmt'!G162+'AL Inc Stmt'!G162+'ESL Inc Stmt'!G162</f>
        <v>827.82999999999993</v>
      </c>
      <c r="H162" s="22">
        <f>'CAC Inc Stmt'!H162+'AL Inc Stmt'!H162+'ESL Inc Stmt'!H162</f>
        <v>278.83999999999997</v>
      </c>
      <c r="I162" s="22">
        <f>'CAC Inc Stmt'!I162+'AL Inc Stmt'!I162+'ESL Inc Stmt'!I162</f>
        <v>538.82999999999993</v>
      </c>
      <c r="J162" s="22">
        <f>'CAC Inc Stmt'!J162+'AL Inc Stmt'!J162+'ESL Inc Stmt'!J162</f>
        <v>905.07</v>
      </c>
      <c r="K162" s="22">
        <f>'CAC Inc Stmt'!K162+'AL Inc Stmt'!K162+'ESL Inc Stmt'!K162</f>
        <v>922.78</v>
      </c>
      <c r="L162" s="42">
        <f>'CAC Inc Stmt'!L162+'AL Inc Stmt'!L162+'ESL Inc Stmt'!L162</f>
        <v>278.83999999999997</v>
      </c>
      <c r="M162" s="22">
        <f>'CAC Inc Stmt'!M162+'AL Inc Stmt'!M162+'ESL Inc Stmt'!M162</f>
        <v>259.99</v>
      </c>
      <c r="N162" s="22">
        <f>'CAC Inc Stmt'!N162+'AL Inc Stmt'!N162+'ESL Inc Stmt'!N162</f>
        <v>366.24000000000007</v>
      </c>
      <c r="O162" s="22">
        <f>'CAC Inc Stmt'!O162+'AL Inc Stmt'!O162+'ESL Inc Stmt'!O162</f>
        <v>17.709999999999923</v>
      </c>
      <c r="P162" s="23">
        <f>'CAC Inc Stmt'!P162+'AL Inc Stmt'!P162+'ESL Inc Stmt'!P162</f>
        <v>922.78</v>
      </c>
      <c r="Q162" s="81">
        <f>'CAC Inc Stmt'!Q162+'AL Inc Stmt'!Q162+'ESL Inc Stmt'!Q162</f>
        <v>675</v>
      </c>
      <c r="R162" s="41">
        <f>P162-Q162</f>
        <v>247.77999999999997</v>
      </c>
      <c r="S162" s="278">
        <f>IF(Q162=0,"",P162/Q162)</f>
        <v>1.3670814814814813</v>
      </c>
      <c r="T162" s="74">
        <f>P162-G162</f>
        <v>94.950000000000045</v>
      </c>
      <c r="U162" s="275">
        <f>IF(G162=0,"",P162/G162)</f>
        <v>1.1146974620393078</v>
      </c>
    </row>
    <row r="163" spans="1:21" x14ac:dyDescent="0.3">
      <c r="C163" t="s">
        <v>189</v>
      </c>
      <c r="F163" s="14" t="s">
        <v>207</v>
      </c>
      <c r="G163" s="24">
        <f>'CAC Inc Stmt'!G163+'AL Inc Stmt'!G163+'ESL Inc Stmt'!G163</f>
        <v>229.82</v>
      </c>
      <c r="H163" s="22">
        <f>'CAC Inc Stmt'!H163+'AL Inc Stmt'!H163+'ESL Inc Stmt'!H163</f>
        <v>96.02</v>
      </c>
      <c r="I163" s="22">
        <f>'CAC Inc Stmt'!I163+'AL Inc Stmt'!I163+'ESL Inc Stmt'!I163</f>
        <v>95.92</v>
      </c>
      <c r="J163" s="22">
        <f>'CAC Inc Stmt'!J163+'AL Inc Stmt'!J163+'ESL Inc Stmt'!J163</f>
        <v>95.92</v>
      </c>
      <c r="K163" s="22">
        <f>'CAC Inc Stmt'!K163+'AL Inc Stmt'!K163+'ESL Inc Stmt'!K163</f>
        <v>159</v>
      </c>
      <c r="L163" s="42">
        <f>'CAC Inc Stmt'!L163+'AL Inc Stmt'!L163+'ESL Inc Stmt'!L163</f>
        <v>96.02</v>
      </c>
      <c r="M163" s="22">
        <f>'CAC Inc Stmt'!M163+'AL Inc Stmt'!M163+'ESL Inc Stmt'!M163</f>
        <v>-9.9999999999997868E-2</v>
      </c>
      <c r="N163" s="22">
        <f>'CAC Inc Stmt'!N163+'AL Inc Stmt'!N163+'ESL Inc Stmt'!N163</f>
        <v>0</v>
      </c>
      <c r="O163" s="22">
        <f>'CAC Inc Stmt'!O163+'AL Inc Stmt'!O163+'ESL Inc Stmt'!O163</f>
        <v>63.08</v>
      </c>
      <c r="P163" s="23">
        <f>'CAC Inc Stmt'!P163+'AL Inc Stmt'!P163+'ESL Inc Stmt'!P163</f>
        <v>159</v>
      </c>
      <c r="Q163" s="81">
        <f>'CAC Inc Stmt'!Q163+'AL Inc Stmt'!Q163+'ESL Inc Stmt'!Q163</f>
        <v>182</v>
      </c>
      <c r="R163" s="41">
        <f>P163-Q163</f>
        <v>-23</v>
      </c>
      <c r="S163" s="278">
        <f>IF(Q163=0,"",P163/Q163)</f>
        <v>0.87362637362637363</v>
      </c>
      <c r="T163" s="74">
        <f>P163-G163</f>
        <v>-70.819999999999993</v>
      </c>
      <c r="U163" s="275">
        <f>IF(G163=0,"",P163/G163)</f>
        <v>0.69184579235923771</v>
      </c>
    </row>
    <row r="164" spans="1:21" x14ac:dyDescent="0.3">
      <c r="C164" t="s">
        <v>191</v>
      </c>
      <c r="F164" s="14"/>
      <c r="G164" s="24">
        <f>'CAC Inc Stmt'!G164+'AL Inc Stmt'!G164+'ESL Inc Stmt'!G164</f>
        <v>266</v>
      </c>
      <c r="H164" s="22">
        <f>'CAC Inc Stmt'!H164+'AL Inc Stmt'!H164+'ESL Inc Stmt'!H164</f>
        <v>0</v>
      </c>
      <c r="I164" s="22">
        <f>'CAC Inc Stmt'!I164+'AL Inc Stmt'!I164+'ESL Inc Stmt'!I164</f>
        <v>0</v>
      </c>
      <c r="J164" s="22">
        <f>'CAC Inc Stmt'!J164+'AL Inc Stmt'!J164+'ESL Inc Stmt'!J164</f>
        <v>0</v>
      </c>
      <c r="K164" s="22">
        <f>'CAC Inc Stmt'!K164+'AL Inc Stmt'!K164+'ESL Inc Stmt'!K164</f>
        <v>0</v>
      </c>
      <c r="L164" s="42">
        <f>'CAC Inc Stmt'!L164+'AL Inc Stmt'!L164+'ESL Inc Stmt'!L164</f>
        <v>0</v>
      </c>
      <c r="M164" s="22">
        <f>'CAC Inc Stmt'!M164+'AL Inc Stmt'!M164+'ESL Inc Stmt'!M164</f>
        <v>0</v>
      </c>
      <c r="N164" s="22">
        <f>'CAC Inc Stmt'!N164+'AL Inc Stmt'!N164+'ESL Inc Stmt'!N164</f>
        <v>0</v>
      </c>
      <c r="O164" s="22">
        <f>'CAC Inc Stmt'!O164+'AL Inc Stmt'!O164+'ESL Inc Stmt'!O164</f>
        <v>0</v>
      </c>
      <c r="P164" s="23">
        <f>'CAC Inc Stmt'!P164+'AL Inc Stmt'!P164+'ESL Inc Stmt'!P164</f>
        <v>0</v>
      </c>
      <c r="Q164" s="81">
        <f>'CAC Inc Stmt'!Q164+'AL Inc Stmt'!Q164+'ESL Inc Stmt'!Q164</f>
        <v>250</v>
      </c>
      <c r="R164" s="41">
        <f>P164-Q164</f>
        <v>-250</v>
      </c>
      <c r="S164" s="278">
        <f>IF(Q164=0,"",P164/Q164)</f>
        <v>0</v>
      </c>
      <c r="T164" s="74">
        <f>P164-G164</f>
        <v>-266</v>
      </c>
      <c r="U164" s="275">
        <f>IF(G164=0,"",P164/G164)</f>
        <v>0</v>
      </c>
    </row>
    <row r="165" spans="1:21" x14ac:dyDescent="0.3">
      <c r="C165" t="s">
        <v>216</v>
      </c>
      <c r="F165" s="14"/>
      <c r="G165" s="24">
        <f>'CAC Inc Stmt'!G165+'AL Inc Stmt'!G165+'ESL Inc Stmt'!G165</f>
        <v>149</v>
      </c>
      <c r="H165" s="22">
        <f>'CAC Inc Stmt'!H165+'AL Inc Stmt'!H165+'ESL Inc Stmt'!H165</f>
        <v>42</v>
      </c>
      <c r="I165" s="22">
        <f>'CAC Inc Stmt'!I165+'AL Inc Stmt'!I165+'ESL Inc Stmt'!I165</f>
        <v>59.49</v>
      </c>
      <c r="J165" s="22">
        <f>'CAC Inc Stmt'!J165+'AL Inc Stmt'!J165+'ESL Inc Stmt'!J165</f>
        <v>266</v>
      </c>
      <c r="K165" s="22">
        <f>'CAC Inc Stmt'!K165+'AL Inc Stmt'!K165+'ESL Inc Stmt'!K165</f>
        <v>449</v>
      </c>
      <c r="L165" s="42">
        <f>'CAC Inc Stmt'!L165+'AL Inc Stmt'!L165+'ESL Inc Stmt'!L165</f>
        <v>42</v>
      </c>
      <c r="M165" s="22">
        <f>'CAC Inc Stmt'!M165+'AL Inc Stmt'!M165+'ESL Inc Stmt'!M165</f>
        <v>17.490000000000002</v>
      </c>
      <c r="N165" s="22">
        <f>'CAC Inc Stmt'!N165+'AL Inc Stmt'!N165+'ESL Inc Stmt'!N165</f>
        <v>206.51</v>
      </c>
      <c r="O165" s="22">
        <f>'CAC Inc Stmt'!O165+'AL Inc Stmt'!O165+'ESL Inc Stmt'!O165</f>
        <v>225</v>
      </c>
      <c r="P165" s="23">
        <f>'CAC Inc Stmt'!P165+'AL Inc Stmt'!P165+'ESL Inc Stmt'!P165</f>
        <v>491</v>
      </c>
      <c r="Q165" s="81">
        <f>'CAC Inc Stmt'!Q165+'AL Inc Stmt'!Q165+'ESL Inc Stmt'!Q165</f>
        <v>140</v>
      </c>
      <c r="R165" s="41">
        <f>P165-Q165</f>
        <v>351</v>
      </c>
      <c r="S165" s="278">
        <f>IF(Q165=0,"",P165/Q165)</f>
        <v>3.5071428571428571</v>
      </c>
      <c r="T165" s="74">
        <f>P165-G165</f>
        <v>342</v>
      </c>
      <c r="U165" s="275">
        <f>IF(G165=0,"",P165/G165)</f>
        <v>3.2953020134228188</v>
      </c>
    </row>
    <row r="166" spans="1:21" x14ac:dyDescent="0.3">
      <c r="F166" s="14"/>
      <c r="G166" s="24"/>
      <c r="H166" s="22"/>
      <c r="I166" s="22"/>
      <c r="J166" s="22"/>
      <c r="K166" s="22"/>
      <c r="L166" s="42"/>
      <c r="M166" s="22"/>
      <c r="N166" s="22"/>
      <c r="O166" s="22"/>
      <c r="P166" s="23"/>
      <c r="Q166" s="81"/>
      <c r="R166" s="41"/>
      <c r="S166" s="257"/>
      <c r="T166" s="74"/>
      <c r="U166" s="275"/>
    </row>
    <row r="167" spans="1:21" x14ac:dyDescent="0.3">
      <c r="C167" s="1" t="s">
        <v>192</v>
      </c>
      <c r="F167" s="16"/>
      <c r="G167" s="48">
        <f>'CAC Inc Stmt'!G167+'AL Inc Stmt'!G167+'ESL Inc Stmt'!G167</f>
        <v>1499.65</v>
      </c>
      <c r="H167" s="49">
        <f>'CAC Inc Stmt'!H167+'AL Inc Stmt'!H167+'ESL Inc Stmt'!H167</f>
        <v>419.86</v>
      </c>
      <c r="I167" s="49">
        <f>'CAC Inc Stmt'!I167+'AL Inc Stmt'!I167+'ESL Inc Stmt'!I167</f>
        <v>697.24</v>
      </c>
      <c r="J167" s="49">
        <f>'CAC Inc Stmt'!J167+'AL Inc Stmt'!J167+'ESL Inc Stmt'!J167</f>
        <v>1269.99</v>
      </c>
      <c r="K167" s="49">
        <f>'CAC Inc Stmt'!K167+'AL Inc Stmt'!K167+'ESL Inc Stmt'!K167</f>
        <v>1533.78</v>
      </c>
      <c r="L167" s="50">
        <f>'CAC Inc Stmt'!L167+'AL Inc Stmt'!L167+'ESL Inc Stmt'!L167</f>
        <v>419.86</v>
      </c>
      <c r="M167" s="49">
        <f>'CAC Inc Stmt'!M167+'AL Inc Stmt'!M167+'ESL Inc Stmt'!M167</f>
        <v>277.38</v>
      </c>
      <c r="N167" s="49">
        <f>'CAC Inc Stmt'!N167+'AL Inc Stmt'!N167+'ESL Inc Stmt'!N167</f>
        <v>572.75</v>
      </c>
      <c r="O167" s="49">
        <f>'CAC Inc Stmt'!O167+'AL Inc Stmt'!O167+'ESL Inc Stmt'!O167</f>
        <v>305.78999999999991</v>
      </c>
      <c r="P167" s="73">
        <f>'CAC Inc Stmt'!P167+'AL Inc Stmt'!P167+'ESL Inc Stmt'!P167</f>
        <v>1575.78</v>
      </c>
      <c r="Q167" s="87">
        <f>'CAC Inc Stmt'!Q167+'AL Inc Stmt'!Q167+'ESL Inc Stmt'!Q167</f>
        <v>1322</v>
      </c>
      <c r="R167" s="51">
        <f>SUM(R161:R166)</f>
        <v>253.77999999999997</v>
      </c>
      <c r="S167" s="327">
        <f>IF(Q167=0,"",P167/Q167)</f>
        <v>1.1919667170953101</v>
      </c>
      <c r="T167" s="80">
        <f>SUM(T161:T166)</f>
        <v>76.130000000000052</v>
      </c>
      <c r="U167" s="329">
        <f>IF(G167=0,"",P167/G167)</f>
        <v>1.0507651785416596</v>
      </c>
    </row>
    <row r="171" spans="1:21" x14ac:dyDescent="0.3">
      <c r="A171" t="s">
        <v>68</v>
      </c>
    </row>
    <row r="172" spans="1:21" x14ac:dyDescent="0.3">
      <c r="A172">
        <v>1</v>
      </c>
      <c r="B172" s="3" t="s">
        <v>90</v>
      </c>
    </row>
    <row r="173" spans="1:21" x14ac:dyDescent="0.3">
      <c r="A173">
        <v>2</v>
      </c>
      <c r="B173" t="s">
        <v>8</v>
      </c>
    </row>
    <row r="174" spans="1:21" x14ac:dyDescent="0.3">
      <c r="A174">
        <v>3</v>
      </c>
      <c r="B174" t="s">
        <v>9</v>
      </c>
    </row>
    <row r="175" spans="1:21" x14ac:dyDescent="0.3">
      <c r="A175">
        <v>4</v>
      </c>
      <c r="B175" t="s">
        <v>10</v>
      </c>
    </row>
  </sheetData>
  <sheetProtection algorithmName="SHA-512" hashValue="Q1x4Muf9DkXSR0VwN9BR89mjxEhwoF5/sS+9/vgxG5a3tnUZZ5T3NBCf0/3+dOgtgQXnLnYXJo8tUmbqQoHADQ==" saltValue="KiJEQACQ+mfqvj4/oroW1A==" spinCount="100000" sheet="1"/>
  <dataConsolidate/>
  <phoneticPr fontId="3" type="noConversion"/>
  <pageMargins left="0.75" right="0.75" top="0.5" bottom="1" header="0.5" footer="0.5"/>
  <pageSetup scale="49" fitToHeight="3" orientation="landscape" horizontalDpi="4294967292" verticalDpi="4294967292" r:id="rId1"/>
  <headerFooter alignWithMargins="0">
    <oddFooter>&amp;L&amp;F&amp;C&amp;D&amp;R&amp;A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14"/>
    <pageSetUpPr fitToPage="1"/>
  </sheetPr>
  <dimension ref="A1:U175"/>
  <sheetViews>
    <sheetView zoomScaleNormal="100" workbookViewId="0">
      <pane xSplit="5" ySplit="6" topLeftCell="F7" activePane="bottomRight" state="frozen"/>
      <selection activeCell="J58" sqref="J58"/>
      <selection pane="topRight" activeCell="J58" sqref="J58"/>
      <selection pane="bottomLeft" activeCell="J58" sqref="J58"/>
      <selection pane="bottomRight" activeCell="I1" sqref="I1"/>
    </sheetView>
  </sheetViews>
  <sheetFormatPr defaultColWidth="11.07421875" defaultRowHeight="13.5" outlineLevelRow="1" outlineLevelCol="1" x14ac:dyDescent="0.3"/>
  <cols>
    <col min="1" max="1" width="4.07421875" style="220" customWidth="1"/>
    <col min="2" max="2" width="4.69140625" style="220" customWidth="1"/>
    <col min="3" max="3" width="9.61328125" style="220" customWidth="1"/>
    <col min="4" max="4" width="4.07421875" style="220" customWidth="1"/>
    <col min="5" max="5" width="9.23046875" style="220" customWidth="1"/>
    <col min="6" max="6" width="7.69140625" style="220" customWidth="1"/>
    <col min="7" max="7" width="11.921875" style="220" customWidth="1"/>
    <col min="8" max="9" width="11.921875" customWidth="1" outlineLevel="1"/>
    <col min="10" max="10" width="12.61328125" customWidth="1" outlineLevel="1"/>
    <col min="11" max="11" width="11.921875" customWidth="1" outlineLevel="1"/>
    <col min="12" max="12" width="11.07421875" style="220" customWidth="1"/>
    <col min="13" max="13" width="11.07421875" style="220"/>
    <col min="14" max="14" width="12.3828125" style="220" customWidth="1"/>
    <col min="15" max="15" width="11.07421875" style="220"/>
    <col min="16" max="16" width="12.69140625" style="220" customWidth="1"/>
    <col min="17" max="17" width="12" style="220" customWidth="1"/>
    <col min="18" max="18" width="11.07421875" style="220"/>
    <col min="19" max="19" width="10.07421875" style="220" customWidth="1"/>
    <col min="20" max="16384" width="11.07421875" style="220"/>
  </cols>
  <sheetData>
    <row r="1" spans="1:21" ht="15" x14ac:dyDescent="0.3">
      <c r="A1" s="219" t="s">
        <v>265</v>
      </c>
    </row>
    <row r="2" spans="1:21" x14ac:dyDescent="0.3">
      <c r="A2" s="221" t="s">
        <v>184</v>
      </c>
    </row>
    <row r="3" spans="1:21" ht="15" thickBot="1" x14ac:dyDescent="0.4">
      <c r="A3" s="222" t="s">
        <v>267</v>
      </c>
      <c r="E3" s="243"/>
    </row>
    <row r="4" spans="1:21" ht="14" thickBot="1" x14ac:dyDescent="0.35">
      <c r="A4" s="222" t="s">
        <v>268</v>
      </c>
      <c r="D4" s="223">
        <v>4</v>
      </c>
    </row>
    <row r="5" spans="1:21" customFormat="1" x14ac:dyDescent="0.3">
      <c r="A5" s="1"/>
      <c r="F5" s="11" t="s">
        <v>217</v>
      </c>
      <c r="G5" s="119" t="s">
        <v>269</v>
      </c>
      <c r="H5" s="9" t="s">
        <v>131</v>
      </c>
      <c r="I5" s="7" t="s">
        <v>131</v>
      </c>
      <c r="J5" s="7" t="s">
        <v>131</v>
      </c>
      <c r="K5" s="345" t="s">
        <v>447</v>
      </c>
      <c r="L5" s="5" t="s">
        <v>139</v>
      </c>
      <c r="M5" s="6" t="s">
        <v>139</v>
      </c>
      <c r="N5" s="6" t="s">
        <v>139</v>
      </c>
      <c r="O5" s="6" t="s">
        <v>139</v>
      </c>
      <c r="P5" s="117" t="s">
        <v>30</v>
      </c>
      <c r="Q5" s="336" t="s">
        <v>20</v>
      </c>
      <c r="R5" s="115" t="s">
        <v>140</v>
      </c>
      <c r="S5" s="244" t="s">
        <v>140</v>
      </c>
      <c r="T5" s="245" t="s">
        <v>141</v>
      </c>
      <c r="U5" s="246" t="s">
        <v>271</v>
      </c>
    </row>
    <row r="6" spans="1:21" customFormat="1" x14ac:dyDescent="0.3">
      <c r="F6" s="12" t="s">
        <v>218</v>
      </c>
      <c r="G6" s="120" t="s">
        <v>423</v>
      </c>
      <c r="H6" s="167">
        <v>40723</v>
      </c>
      <c r="I6" s="168">
        <v>40815</v>
      </c>
      <c r="J6" s="168">
        <v>40907</v>
      </c>
      <c r="K6" s="346">
        <v>40998</v>
      </c>
      <c r="L6" s="167">
        <v>40723</v>
      </c>
      <c r="M6" s="168">
        <v>40815</v>
      </c>
      <c r="N6" s="168">
        <v>40907</v>
      </c>
      <c r="O6" s="168">
        <v>40998</v>
      </c>
      <c r="P6" s="174" t="s">
        <v>433</v>
      </c>
      <c r="Q6" s="337" t="s">
        <v>433</v>
      </c>
      <c r="R6" s="116" t="s">
        <v>16</v>
      </c>
      <c r="S6" s="247" t="s">
        <v>18</v>
      </c>
      <c r="T6" s="248" t="s">
        <v>19</v>
      </c>
      <c r="U6" s="249" t="s">
        <v>111</v>
      </c>
    </row>
    <row r="7" spans="1:21" x14ac:dyDescent="0.3">
      <c r="A7" s="222" t="s">
        <v>385</v>
      </c>
      <c r="B7" s="222"/>
      <c r="F7" s="250"/>
      <c r="G7" s="251"/>
      <c r="H7" s="185"/>
      <c r="I7" s="185"/>
      <c r="J7" s="185"/>
      <c r="K7" s="22"/>
      <c r="L7" s="253"/>
      <c r="M7" s="252"/>
      <c r="N7" s="252"/>
      <c r="O7" s="252"/>
      <c r="P7" s="254"/>
      <c r="Q7" s="255"/>
      <c r="R7" s="256"/>
      <c r="S7" s="257"/>
      <c r="T7" s="258"/>
      <c r="U7" s="259"/>
    </row>
    <row r="8" spans="1:21" x14ac:dyDescent="0.3">
      <c r="A8" s="222"/>
      <c r="B8" s="222" t="s">
        <v>386</v>
      </c>
      <c r="F8" s="260"/>
      <c r="G8" s="261">
        <f>SUM(G9:G18)</f>
        <v>0</v>
      </c>
      <c r="H8" s="186">
        <f>SUM(H9:H18)</f>
        <v>0</v>
      </c>
      <c r="I8" s="186">
        <f>SUM(I9:I18)</f>
        <v>0</v>
      </c>
      <c r="J8" s="186">
        <f>SUM(J9:J18)</f>
        <v>0</v>
      </c>
      <c r="K8" s="347">
        <f>SUM(K9:K18)</f>
        <v>0</v>
      </c>
      <c r="L8" s="263">
        <f t="shared" ref="L8:R8" si="0">SUM(L9:L18)</f>
        <v>0</v>
      </c>
      <c r="M8" s="262">
        <f t="shared" si="0"/>
        <v>0</v>
      </c>
      <c r="N8" s="262">
        <f t="shared" si="0"/>
        <v>0</v>
      </c>
      <c r="O8" s="262">
        <f t="shared" si="0"/>
        <v>0</v>
      </c>
      <c r="P8" s="264">
        <f t="shared" si="0"/>
        <v>0</v>
      </c>
      <c r="Q8" s="265">
        <f>SUM(Q9:Q18)</f>
        <v>0</v>
      </c>
      <c r="R8" s="266">
        <f t="shared" si="0"/>
        <v>0</v>
      </c>
      <c r="S8" s="267" t="str">
        <f t="shared" ref="S8:S16" si="1">IF(Q8=0,"",P8/Q8)</f>
        <v/>
      </c>
      <c r="T8" s="268">
        <f>SUM(T9:T18)</f>
        <v>0</v>
      </c>
      <c r="U8" s="269" t="str">
        <f t="shared" ref="U8:U17" si="2">IF(G8=0,"",P8/G8)</f>
        <v/>
      </c>
    </row>
    <row r="9" spans="1:21" hidden="1" outlineLevel="1" x14ac:dyDescent="0.3">
      <c r="C9" s="220" t="s">
        <v>387</v>
      </c>
      <c r="F9" s="260"/>
      <c r="G9" s="270"/>
      <c r="H9" s="185"/>
      <c r="I9" s="185"/>
      <c r="J9" s="185"/>
      <c r="K9" s="22"/>
      <c r="L9" s="271">
        <f t="shared" ref="L9:L17" si="3">+H9</f>
        <v>0</v>
      </c>
      <c r="M9" s="252">
        <f t="shared" ref="M9:M17" si="4">IF(I9=0,0,I9-H9)</f>
        <v>0</v>
      </c>
      <c r="N9" s="252">
        <f t="shared" ref="N9:O17" si="5">IF(J9=0,0,J9-I9)</f>
        <v>0</v>
      </c>
      <c r="O9" s="252">
        <f t="shared" si="5"/>
        <v>0</v>
      </c>
      <c r="P9" s="254">
        <f t="shared" ref="P9:P17" si="6">SUM(L9:O9)</f>
        <v>0</v>
      </c>
      <c r="Q9" s="255"/>
      <c r="R9" s="256">
        <f t="shared" ref="R9:R17" si="7">P9-Q9</f>
        <v>0</v>
      </c>
      <c r="S9" s="272" t="str">
        <f t="shared" si="1"/>
        <v/>
      </c>
      <c r="T9" s="258">
        <f t="shared" ref="T9:T17" si="8">P9-G9</f>
        <v>0</v>
      </c>
      <c r="U9" s="273" t="str">
        <f t="shared" si="2"/>
        <v/>
      </c>
    </row>
    <row r="10" spans="1:21" hidden="1" outlineLevel="1" x14ac:dyDescent="0.3">
      <c r="C10" s="220" t="s">
        <v>388</v>
      </c>
      <c r="F10" s="260" t="s">
        <v>389</v>
      </c>
      <c r="G10" s="270"/>
      <c r="H10" s="185"/>
      <c r="I10" s="185"/>
      <c r="J10" s="185"/>
      <c r="K10" s="22"/>
      <c r="L10" s="271">
        <f t="shared" si="3"/>
        <v>0</v>
      </c>
      <c r="M10" s="252">
        <f t="shared" si="4"/>
        <v>0</v>
      </c>
      <c r="N10" s="252">
        <f t="shared" si="5"/>
        <v>0</v>
      </c>
      <c r="O10" s="252">
        <f t="shared" si="5"/>
        <v>0</v>
      </c>
      <c r="P10" s="254">
        <f t="shared" si="6"/>
        <v>0</v>
      </c>
      <c r="Q10" s="255"/>
      <c r="R10" s="256">
        <f t="shared" si="7"/>
        <v>0</v>
      </c>
      <c r="S10" s="272" t="str">
        <f t="shared" si="1"/>
        <v/>
      </c>
      <c r="T10" s="258">
        <f t="shared" si="8"/>
        <v>0</v>
      </c>
      <c r="U10" s="273" t="str">
        <f t="shared" si="2"/>
        <v/>
      </c>
    </row>
    <row r="11" spans="1:21" hidden="1" outlineLevel="1" x14ac:dyDescent="0.3">
      <c r="C11" s="220" t="s">
        <v>390</v>
      </c>
      <c r="F11" s="260"/>
      <c r="G11" s="270"/>
      <c r="H11" s="185"/>
      <c r="I11" s="185"/>
      <c r="J11" s="185"/>
      <c r="K11" s="22"/>
      <c r="L11" s="271">
        <f t="shared" si="3"/>
        <v>0</v>
      </c>
      <c r="M11" s="252">
        <f t="shared" si="4"/>
        <v>0</v>
      </c>
      <c r="N11" s="252">
        <f t="shared" si="5"/>
        <v>0</v>
      </c>
      <c r="O11" s="252">
        <f t="shared" si="5"/>
        <v>0</v>
      </c>
      <c r="P11" s="254">
        <f t="shared" si="6"/>
        <v>0</v>
      </c>
      <c r="Q11" s="255"/>
      <c r="R11" s="256">
        <f t="shared" si="7"/>
        <v>0</v>
      </c>
      <c r="S11" s="272" t="str">
        <f t="shared" si="1"/>
        <v/>
      </c>
      <c r="T11" s="258">
        <f t="shared" si="8"/>
        <v>0</v>
      </c>
      <c r="U11" s="273" t="str">
        <f t="shared" si="2"/>
        <v/>
      </c>
    </row>
    <row r="12" spans="1:21" hidden="1" outlineLevel="1" x14ac:dyDescent="0.3">
      <c r="C12" s="220" t="s">
        <v>391</v>
      </c>
      <c r="F12" s="260"/>
      <c r="G12" s="270"/>
      <c r="H12" s="185"/>
      <c r="I12" s="185"/>
      <c r="J12" s="185"/>
      <c r="K12" s="22"/>
      <c r="L12" s="271">
        <f t="shared" si="3"/>
        <v>0</v>
      </c>
      <c r="M12" s="252">
        <f t="shared" si="4"/>
        <v>0</v>
      </c>
      <c r="N12" s="252">
        <f t="shared" si="5"/>
        <v>0</v>
      </c>
      <c r="O12" s="252">
        <f t="shared" si="5"/>
        <v>0</v>
      </c>
      <c r="P12" s="254">
        <f t="shared" si="6"/>
        <v>0</v>
      </c>
      <c r="Q12" s="255"/>
      <c r="R12" s="256">
        <f t="shared" si="7"/>
        <v>0</v>
      </c>
      <c r="S12" s="272" t="str">
        <f t="shared" si="1"/>
        <v/>
      </c>
      <c r="T12" s="258">
        <f t="shared" si="8"/>
        <v>0</v>
      </c>
      <c r="U12" s="273" t="str">
        <f t="shared" si="2"/>
        <v/>
      </c>
    </row>
    <row r="13" spans="1:21" hidden="1" outlineLevel="1" x14ac:dyDescent="0.3">
      <c r="C13" s="220" t="s">
        <v>392</v>
      </c>
      <c r="F13" s="260"/>
      <c r="G13" s="270"/>
      <c r="H13" s="185"/>
      <c r="I13" s="185"/>
      <c r="J13" s="185"/>
      <c r="K13" s="22"/>
      <c r="L13" s="271">
        <f t="shared" si="3"/>
        <v>0</v>
      </c>
      <c r="M13" s="252">
        <f t="shared" si="4"/>
        <v>0</v>
      </c>
      <c r="N13" s="252">
        <f t="shared" si="5"/>
        <v>0</v>
      </c>
      <c r="O13" s="252">
        <f t="shared" si="5"/>
        <v>0</v>
      </c>
      <c r="P13" s="254">
        <f t="shared" si="6"/>
        <v>0</v>
      </c>
      <c r="Q13" s="255"/>
      <c r="R13" s="256">
        <f t="shared" si="7"/>
        <v>0</v>
      </c>
      <c r="S13" s="272" t="str">
        <f t="shared" si="1"/>
        <v/>
      </c>
      <c r="T13" s="258">
        <f t="shared" si="8"/>
        <v>0</v>
      </c>
      <c r="U13" s="273" t="str">
        <f t="shared" si="2"/>
        <v/>
      </c>
    </row>
    <row r="14" spans="1:21" hidden="1" outlineLevel="1" x14ac:dyDescent="0.3">
      <c r="C14" s="220" t="s">
        <v>393</v>
      </c>
      <c r="F14" s="260">
        <v>5490</v>
      </c>
      <c r="G14" s="270"/>
      <c r="H14" s="185"/>
      <c r="I14" s="185"/>
      <c r="J14" s="185"/>
      <c r="K14" s="22"/>
      <c r="L14" s="271">
        <f t="shared" si="3"/>
        <v>0</v>
      </c>
      <c r="M14" s="252">
        <f t="shared" si="4"/>
        <v>0</v>
      </c>
      <c r="N14" s="252">
        <f t="shared" si="5"/>
        <v>0</v>
      </c>
      <c r="O14" s="252">
        <f t="shared" si="5"/>
        <v>0</v>
      </c>
      <c r="P14" s="254">
        <f t="shared" si="6"/>
        <v>0</v>
      </c>
      <c r="Q14" s="255"/>
      <c r="R14" s="256">
        <f t="shared" si="7"/>
        <v>0</v>
      </c>
      <c r="S14" s="272" t="str">
        <f t="shared" si="1"/>
        <v/>
      </c>
      <c r="T14" s="258">
        <f t="shared" si="8"/>
        <v>0</v>
      </c>
      <c r="U14" s="273" t="str">
        <f t="shared" si="2"/>
        <v/>
      </c>
    </row>
    <row r="15" spans="1:21" hidden="1" outlineLevel="1" x14ac:dyDescent="0.3">
      <c r="C15" s="274" t="s">
        <v>421</v>
      </c>
      <c r="F15" s="260"/>
      <c r="G15" s="270"/>
      <c r="H15" s="185"/>
      <c r="I15" s="185"/>
      <c r="J15" s="185"/>
      <c r="K15" s="22"/>
      <c r="L15" s="271">
        <f t="shared" si="3"/>
        <v>0</v>
      </c>
      <c r="M15" s="252">
        <f t="shared" si="4"/>
        <v>0</v>
      </c>
      <c r="N15" s="252">
        <f t="shared" si="5"/>
        <v>0</v>
      </c>
      <c r="O15" s="252">
        <f t="shared" si="5"/>
        <v>0</v>
      </c>
      <c r="P15" s="254">
        <f t="shared" si="6"/>
        <v>0</v>
      </c>
      <c r="Q15" s="255"/>
      <c r="R15" s="256">
        <f t="shared" si="7"/>
        <v>0</v>
      </c>
      <c r="S15" s="272" t="str">
        <f t="shared" si="1"/>
        <v/>
      </c>
      <c r="T15" s="258">
        <f t="shared" si="8"/>
        <v>0</v>
      </c>
      <c r="U15" s="273" t="str">
        <f t="shared" si="2"/>
        <v/>
      </c>
    </row>
    <row r="16" spans="1:21" hidden="1" outlineLevel="1" x14ac:dyDescent="0.3">
      <c r="F16" s="260"/>
      <c r="G16" s="270"/>
      <c r="H16" s="185"/>
      <c r="I16" s="185"/>
      <c r="J16" s="185"/>
      <c r="K16" s="22"/>
      <c r="L16" s="271">
        <f t="shared" si="3"/>
        <v>0</v>
      </c>
      <c r="M16" s="252">
        <f t="shared" si="4"/>
        <v>0</v>
      </c>
      <c r="N16" s="252">
        <f t="shared" si="5"/>
        <v>0</v>
      </c>
      <c r="O16" s="252">
        <f t="shared" si="5"/>
        <v>0</v>
      </c>
      <c r="P16" s="254">
        <f t="shared" si="6"/>
        <v>0</v>
      </c>
      <c r="Q16" s="255"/>
      <c r="R16" s="256">
        <f t="shared" si="7"/>
        <v>0</v>
      </c>
      <c r="S16" s="272" t="str">
        <f t="shared" si="1"/>
        <v/>
      </c>
      <c r="T16" s="258">
        <f t="shared" si="8"/>
        <v>0</v>
      </c>
      <c r="U16" s="273" t="str">
        <f t="shared" si="2"/>
        <v/>
      </c>
    </row>
    <row r="17" spans="2:21" hidden="1" outlineLevel="1" x14ac:dyDescent="0.3">
      <c r="F17" s="260"/>
      <c r="G17" s="270"/>
      <c r="H17" s="185"/>
      <c r="I17" s="185"/>
      <c r="J17" s="185"/>
      <c r="K17" s="22"/>
      <c r="L17" s="271">
        <f t="shared" si="3"/>
        <v>0</v>
      </c>
      <c r="M17" s="252">
        <f t="shared" si="4"/>
        <v>0</v>
      </c>
      <c r="N17" s="252">
        <f t="shared" si="5"/>
        <v>0</v>
      </c>
      <c r="O17" s="252">
        <f t="shared" si="5"/>
        <v>0</v>
      </c>
      <c r="P17" s="254">
        <f t="shared" si="6"/>
        <v>0</v>
      </c>
      <c r="Q17" s="255"/>
      <c r="R17" s="256">
        <f t="shared" si="7"/>
        <v>0</v>
      </c>
      <c r="S17" s="257"/>
      <c r="T17" s="258">
        <f t="shared" si="8"/>
        <v>0</v>
      </c>
      <c r="U17" s="275" t="str">
        <f t="shared" si="2"/>
        <v/>
      </c>
    </row>
    <row r="18" spans="2:21" hidden="1" outlineLevel="1" x14ac:dyDescent="0.3">
      <c r="F18" s="260"/>
      <c r="G18" s="270"/>
      <c r="H18" s="185"/>
      <c r="I18" s="185"/>
      <c r="J18" s="185"/>
      <c r="K18" s="22"/>
      <c r="L18" s="271"/>
      <c r="M18" s="252"/>
      <c r="N18" s="252"/>
      <c r="O18" s="252"/>
      <c r="P18" s="254"/>
      <c r="Q18" s="255"/>
      <c r="R18" s="256"/>
      <c r="S18" s="257"/>
      <c r="T18" s="258"/>
      <c r="U18" s="259"/>
    </row>
    <row r="19" spans="2:21" hidden="1" outlineLevel="1" x14ac:dyDescent="0.3">
      <c r="F19" s="260"/>
      <c r="G19" s="270"/>
      <c r="H19" s="185"/>
      <c r="I19" s="185"/>
      <c r="J19" s="185"/>
      <c r="K19" s="22"/>
      <c r="L19" s="271"/>
      <c r="M19" s="252"/>
      <c r="N19" s="252"/>
      <c r="O19" s="252"/>
      <c r="P19" s="254"/>
      <c r="Q19" s="255"/>
      <c r="R19" s="256"/>
      <c r="S19" s="257"/>
      <c r="T19" s="258"/>
      <c r="U19" s="259"/>
    </row>
    <row r="20" spans="2:21" collapsed="1" x14ac:dyDescent="0.3">
      <c r="B20" s="222" t="s">
        <v>394</v>
      </c>
      <c r="F20" s="260"/>
      <c r="G20" s="261">
        <f>SUM(G21:G32)</f>
        <v>68614</v>
      </c>
      <c r="H20" s="186">
        <f>SUM(H21:H32)</f>
        <v>6842.0899999999992</v>
      </c>
      <c r="I20" s="186">
        <f>SUM(I21:I32)</f>
        <v>33185</v>
      </c>
      <c r="J20" s="186">
        <f>SUM(J21:J32)</f>
        <v>53266</v>
      </c>
      <c r="K20" s="347">
        <f>SUM(K21:K32)</f>
        <v>72036</v>
      </c>
      <c r="L20" s="263">
        <f t="shared" ref="L20:R20" si="9">SUM(L21:L32)</f>
        <v>6842.0899999999992</v>
      </c>
      <c r="M20" s="262">
        <f t="shared" si="9"/>
        <v>26342.91</v>
      </c>
      <c r="N20" s="262">
        <f t="shared" si="9"/>
        <v>20081</v>
      </c>
      <c r="O20" s="262">
        <f t="shared" si="9"/>
        <v>18770</v>
      </c>
      <c r="P20" s="264">
        <f t="shared" si="9"/>
        <v>72036</v>
      </c>
      <c r="Q20" s="265">
        <v>68900</v>
      </c>
      <c r="R20" s="266">
        <f t="shared" si="9"/>
        <v>3136</v>
      </c>
      <c r="S20" s="267">
        <f t="shared" ref="S20:S31" si="10">IF(Q20=0,"",P20/Q20)</f>
        <v>1.0455152394775036</v>
      </c>
      <c r="T20" s="268">
        <f>SUM(T21:T32)</f>
        <v>3422</v>
      </c>
      <c r="U20" s="269">
        <f t="shared" ref="U20:U28" si="11">IF(G20=0,"",P20/G20)</f>
        <v>1.0498732037193577</v>
      </c>
    </row>
    <row r="21" spans="2:21" outlineLevel="1" x14ac:dyDescent="0.3">
      <c r="C21" s="220" t="s">
        <v>395</v>
      </c>
      <c r="F21" s="260">
        <v>5182</v>
      </c>
      <c r="G21" s="270">
        <v>14556</v>
      </c>
      <c r="H21" s="185">
        <v>1616.07</v>
      </c>
      <c r="I21" s="185">
        <f>7948+251+888</f>
        <v>9087</v>
      </c>
      <c r="J21" s="185">
        <f>13547+1045</f>
        <v>14592</v>
      </c>
      <c r="K21" s="22">
        <f>18344+1857+608</f>
        <v>20809</v>
      </c>
      <c r="L21" s="271">
        <f t="shared" ref="L21:L30" si="12">+H21</f>
        <v>1616.07</v>
      </c>
      <c r="M21" s="252">
        <f t="shared" ref="M21:M30" si="13">IF(I21=0,0,I21-H21)</f>
        <v>7470.93</v>
      </c>
      <c r="N21" s="252">
        <f t="shared" ref="N21:O30" si="14">IF(J21=0,0,J21-I21)</f>
        <v>5505</v>
      </c>
      <c r="O21" s="252">
        <f t="shared" si="14"/>
        <v>6217</v>
      </c>
      <c r="P21" s="254">
        <f t="shared" ref="P21:P30" si="15">SUM(L21:O21)</f>
        <v>20809</v>
      </c>
      <c r="Q21" s="255">
        <v>18000</v>
      </c>
      <c r="R21" s="256">
        <f t="shared" ref="R21:R31" si="16">P21-Q21</f>
        <v>2809</v>
      </c>
      <c r="S21" s="272">
        <f t="shared" si="10"/>
        <v>1.1560555555555556</v>
      </c>
      <c r="T21" s="258">
        <f t="shared" ref="T21:T31" si="17">P21-G21</f>
        <v>6253</v>
      </c>
      <c r="U21" s="273">
        <f t="shared" si="11"/>
        <v>1.429582302830448</v>
      </c>
    </row>
    <row r="22" spans="2:21" outlineLevel="1" x14ac:dyDescent="0.3">
      <c r="C22" s="220" t="s">
        <v>396</v>
      </c>
      <c r="F22" s="260">
        <v>5181</v>
      </c>
      <c r="G22" s="270">
        <v>32290</v>
      </c>
      <c r="H22" s="185">
        <f>1406+207</f>
        <v>1613</v>
      </c>
      <c r="I22" s="185">
        <f>15865+207</f>
        <v>16072</v>
      </c>
      <c r="J22" s="185">
        <v>23006</v>
      </c>
      <c r="K22" s="22">
        <v>33069</v>
      </c>
      <c r="L22" s="271">
        <f t="shared" si="12"/>
        <v>1613</v>
      </c>
      <c r="M22" s="252">
        <f t="shared" si="13"/>
        <v>14459</v>
      </c>
      <c r="N22" s="252">
        <f t="shared" si="14"/>
        <v>6934</v>
      </c>
      <c r="O22" s="252">
        <f t="shared" si="14"/>
        <v>10063</v>
      </c>
      <c r="P22" s="254">
        <f t="shared" si="15"/>
        <v>33069</v>
      </c>
      <c r="Q22" s="255">
        <v>35000</v>
      </c>
      <c r="R22" s="256">
        <f t="shared" si="16"/>
        <v>-1931</v>
      </c>
      <c r="S22" s="272">
        <f t="shared" si="10"/>
        <v>0.94482857142857146</v>
      </c>
      <c r="T22" s="258">
        <f t="shared" si="17"/>
        <v>779</v>
      </c>
      <c r="U22" s="273">
        <f t="shared" si="11"/>
        <v>1.0241251161350262</v>
      </c>
    </row>
    <row r="23" spans="2:21" outlineLevel="1" x14ac:dyDescent="0.3">
      <c r="C23" s="220" t="s">
        <v>397</v>
      </c>
      <c r="F23" s="260" t="s">
        <v>398</v>
      </c>
      <c r="G23" s="270">
        <v>12252</v>
      </c>
      <c r="H23" s="185">
        <f>2128.32+120</f>
        <v>2248.3200000000002</v>
      </c>
      <c r="I23" s="185">
        <v>3990</v>
      </c>
      <c r="J23" s="185">
        <v>9190</v>
      </c>
      <c r="K23" s="22">
        <v>10580</v>
      </c>
      <c r="L23" s="271">
        <f t="shared" si="12"/>
        <v>2248.3200000000002</v>
      </c>
      <c r="M23" s="252">
        <f t="shared" si="13"/>
        <v>1741.6799999999998</v>
      </c>
      <c r="N23" s="252">
        <f t="shared" si="14"/>
        <v>5200</v>
      </c>
      <c r="O23" s="252">
        <f t="shared" si="14"/>
        <v>1390</v>
      </c>
      <c r="P23" s="254">
        <f t="shared" si="15"/>
        <v>10580</v>
      </c>
      <c r="Q23" s="255">
        <v>8000</v>
      </c>
      <c r="R23" s="256">
        <f t="shared" si="16"/>
        <v>2580</v>
      </c>
      <c r="S23" s="272">
        <f t="shared" si="10"/>
        <v>1.3225</v>
      </c>
      <c r="T23" s="258">
        <f t="shared" si="17"/>
        <v>-1672</v>
      </c>
      <c r="U23" s="273">
        <f t="shared" si="11"/>
        <v>0.86353248449232778</v>
      </c>
    </row>
    <row r="24" spans="2:21" outlineLevel="1" x14ac:dyDescent="0.3">
      <c r="C24" s="220" t="s">
        <v>288</v>
      </c>
      <c r="F24" s="260" t="s">
        <v>289</v>
      </c>
      <c r="G24" s="270">
        <v>0</v>
      </c>
      <c r="H24" s="185">
        <v>500</v>
      </c>
      <c r="I24" s="185">
        <v>500</v>
      </c>
      <c r="J24" s="185">
        <v>500</v>
      </c>
      <c r="K24" s="22">
        <v>500</v>
      </c>
      <c r="L24" s="271">
        <f t="shared" si="12"/>
        <v>500</v>
      </c>
      <c r="M24" s="252">
        <f t="shared" si="13"/>
        <v>0</v>
      </c>
      <c r="N24" s="252">
        <f t="shared" si="14"/>
        <v>0</v>
      </c>
      <c r="O24" s="252">
        <f t="shared" si="14"/>
        <v>0</v>
      </c>
      <c r="P24" s="254">
        <f t="shared" si="15"/>
        <v>500</v>
      </c>
      <c r="Q24" s="255">
        <v>0</v>
      </c>
      <c r="R24" s="256">
        <f t="shared" si="16"/>
        <v>500</v>
      </c>
      <c r="S24" s="272" t="str">
        <f t="shared" si="10"/>
        <v/>
      </c>
      <c r="T24" s="258">
        <f t="shared" si="17"/>
        <v>500</v>
      </c>
      <c r="U24" s="273" t="str">
        <f t="shared" si="11"/>
        <v/>
      </c>
    </row>
    <row r="25" spans="2:21" outlineLevel="1" x14ac:dyDescent="0.3">
      <c r="C25" s="220" t="s">
        <v>290</v>
      </c>
      <c r="F25" s="260" t="s">
        <v>291</v>
      </c>
      <c r="G25" s="270">
        <v>8040</v>
      </c>
      <c r="H25" s="185">
        <v>1010</v>
      </c>
      <c r="I25" s="185">
        <f>2980+180</f>
        <v>3160</v>
      </c>
      <c r="J25" s="185">
        <v>4880</v>
      </c>
      <c r="K25" s="22">
        <v>5790</v>
      </c>
      <c r="L25" s="271">
        <f t="shared" si="12"/>
        <v>1010</v>
      </c>
      <c r="M25" s="252">
        <f t="shared" si="13"/>
        <v>2150</v>
      </c>
      <c r="N25" s="252">
        <f t="shared" si="14"/>
        <v>1720</v>
      </c>
      <c r="O25" s="252">
        <f t="shared" si="14"/>
        <v>910</v>
      </c>
      <c r="P25" s="254">
        <f t="shared" si="15"/>
        <v>5790</v>
      </c>
      <c r="Q25" s="255">
        <v>6400</v>
      </c>
      <c r="R25" s="256">
        <f t="shared" si="16"/>
        <v>-610</v>
      </c>
      <c r="S25" s="272">
        <f t="shared" si="10"/>
        <v>0.90468749999999998</v>
      </c>
      <c r="T25" s="258">
        <f t="shared" si="17"/>
        <v>-2250</v>
      </c>
      <c r="U25" s="273">
        <f t="shared" si="11"/>
        <v>0.72014925373134331</v>
      </c>
    </row>
    <row r="26" spans="2:21" outlineLevel="1" x14ac:dyDescent="0.3">
      <c r="C26" s="220" t="s">
        <v>292</v>
      </c>
      <c r="F26" s="260" t="s">
        <v>293</v>
      </c>
      <c r="G26" s="270">
        <v>330</v>
      </c>
      <c r="H26" s="185">
        <v>-316</v>
      </c>
      <c r="I26" s="185">
        <v>169</v>
      </c>
      <c r="J26" s="185">
        <v>349</v>
      </c>
      <c r="K26" s="22">
        <v>489</v>
      </c>
      <c r="L26" s="271">
        <f t="shared" si="12"/>
        <v>-316</v>
      </c>
      <c r="M26" s="252">
        <f t="shared" si="13"/>
        <v>485</v>
      </c>
      <c r="N26" s="252">
        <f t="shared" si="14"/>
        <v>180</v>
      </c>
      <c r="O26" s="252">
        <f t="shared" si="14"/>
        <v>140</v>
      </c>
      <c r="P26" s="254">
        <f t="shared" si="15"/>
        <v>489</v>
      </c>
      <c r="Q26" s="255">
        <v>750</v>
      </c>
      <c r="R26" s="256">
        <f t="shared" si="16"/>
        <v>-261</v>
      </c>
      <c r="S26" s="272">
        <f t="shared" si="10"/>
        <v>0.65200000000000002</v>
      </c>
      <c r="T26" s="258">
        <f t="shared" si="17"/>
        <v>159</v>
      </c>
      <c r="U26" s="273">
        <f t="shared" si="11"/>
        <v>1.4818181818181819</v>
      </c>
    </row>
    <row r="27" spans="2:21" outlineLevel="1" x14ac:dyDescent="0.3">
      <c r="C27" s="220" t="s">
        <v>388</v>
      </c>
      <c r="F27" s="260" t="s">
        <v>389</v>
      </c>
      <c r="G27" s="270">
        <v>1142</v>
      </c>
      <c r="H27" s="185">
        <v>168.7</v>
      </c>
      <c r="I27" s="185">
        <v>145</v>
      </c>
      <c r="J27" s="185">
        <v>687</v>
      </c>
      <c r="K27" s="22">
        <v>737</v>
      </c>
      <c r="L27" s="271">
        <f t="shared" si="12"/>
        <v>168.7</v>
      </c>
      <c r="M27" s="252">
        <f t="shared" si="13"/>
        <v>-23.699999999999989</v>
      </c>
      <c r="N27" s="252">
        <f t="shared" si="14"/>
        <v>542</v>
      </c>
      <c r="O27" s="252">
        <f t="shared" si="14"/>
        <v>50</v>
      </c>
      <c r="P27" s="254">
        <f t="shared" si="15"/>
        <v>737</v>
      </c>
      <c r="Q27" s="255">
        <v>750</v>
      </c>
      <c r="R27" s="256">
        <f t="shared" si="16"/>
        <v>-13</v>
      </c>
      <c r="S27" s="272">
        <f t="shared" si="10"/>
        <v>0.98266666666666669</v>
      </c>
      <c r="T27" s="258">
        <f t="shared" si="17"/>
        <v>-405</v>
      </c>
      <c r="U27" s="273">
        <f t="shared" si="11"/>
        <v>0.64535901926444839</v>
      </c>
    </row>
    <row r="28" spans="2:21" outlineLevel="1" x14ac:dyDescent="0.3">
      <c r="C28" s="220" t="s">
        <v>393</v>
      </c>
      <c r="F28" s="260">
        <v>5490</v>
      </c>
      <c r="G28" s="270">
        <v>4</v>
      </c>
      <c r="H28" s="185">
        <v>2</v>
      </c>
      <c r="I28" s="185">
        <f>2+60</f>
        <v>62</v>
      </c>
      <c r="J28" s="185">
        <v>62</v>
      </c>
      <c r="K28" s="22">
        <v>62</v>
      </c>
      <c r="L28" s="271">
        <f t="shared" si="12"/>
        <v>2</v>
      </c>
      <c r="M28" s="252">
        <f t="shared" si="13"/>
        <v>60</v>
      </c>
      <c r="N28" s="252">
        <f t="shared" si="14"/>
        <v>0</v>
      </c>
      <c r="O28" s="252">
        <f t="shared" si="14"/>
        <v>0</v>
      </c>
      <c r="P28" s="254">
        <f t="shared" si="15"/>
        <v>62</v>
      </c>
      <c r="Q28" s="255"/>
      <c r="R28" s="256">
        <f t="shared" si="16"/>
        <v>62</v>
      </c>
      <c r="S28" s="272" t="str">
        <f t="shared" si="10"/>
        <v/>
      </c>
      <c r="T28" s="258">
        <f t="shared" si="17"/>
        <v>58</v>
      </c>
      <c r="U28" s="273">
        <f t="shared" si="11"/>
        <v>15.5</v>
      </c>
    </row>
    <row r="29" spans="2:21" outlineLevel="1" x14ac:dyDescent="0.3">
      <c r="F29" s="260"/>
      <c r="G29" s="270">
        <v>0</v>
      </c>
      <c r="H29" s="185"/>
      <c r="I29" s="185"/>
      <c r="J29" s="185"/>
      <c r="K29" s="22"/>
      <c r="L29" s="271">
        <f t="shared" si="12"/>
        <v>0</v>
      </c>
      <c r="M29" s="252">
        <f t="shared" si="13"/>
        <v>0</v>
      </c>
      <c r="N29" s="252">
        <f t="shared" si="14"/>
        <v>0</v>
      </c>
      <c r="O29" s="252">
        <f t="shared" si="14"/>
        <v>0</v>
      </c>
      <c r="P29" s="254">
        <f t="shared" si="15"/>
        <v>0</v>
      </c>
      <c r="Q29" s="255"/>
      <c r="R29" s="256">
        <f t="shared" si="16"/>
        <v>0</v>
      </c>
      <c r="S29" s="272" t="str">
        <f t="shared" si="10"/>
        <v/>
      </c>
      <c r="T29" s="258">
        <f t="shared" si="17"/>
        <v>0</v>
      </c>
      <c r="U29" s="259"/>
    </row>
    <row r="30" spans="2:21" outlineLevel="1" x14ac:dyDescent="0.3">
      <c r="F30" s="260"/>
      <c r="G30" s="270">
        <v>0</v>
      </c>
      <c r="H30" s="185"/>
      <c r="I30" s="185"/>
      <c r="J30" s="185"/>
      <c r="K30" s="22"/>
      <c r="L30" s="271">
        <f t="shared" si="12"/>
        <v>0</v>
      </c>
      <c r="M30" s="252">
        <f t="shared" si="13"/>
        <v>0</v>
      </c>
      <c r="N30" s="252">
        <f t="shared" si="14"/>
        <v>0</v>
      </c>
      <c r="O30" s="252">
        <f t="shared" si="14"/>
        <v>0</v>
      </c>
      <c r="P30" s="254">
        <f t="shared" si="15"/>
        <v>0</v>
      </c>
      <c r="Q30" s="255"/>
      <c r="R30" s="256">
        <f t="shared" si="16"/>
        <v>0</v>
      </c>
      <c r="S30" s="272" t="str">
        <f t="shared" si="10"/>
        <v/>
      </c>
      <c r="T30" s="258">
        <f t="shared" si="17"/>
        <v>0</v>
      </c>
      <c r="U30" s="259"/>
    </row>
    <row r="31" spans="2:21" outlineLevel="1" x14ac:dyDescent="0.3">
      <c r="F31" s="260"/>
      <c r="G31" s="270"/>
      <c r="H31" s="185"/>
      <c r="I31" s="185"/>
      <c r="J31" s="185"/>
      <c r="K31" s="22"/>
      <c r="L31" s="271"/>
      <c r="M31" s="252"/>
      <c r="N31" s="252"/>
      <c r="O31" s="252"/>
      <c r="P31" s="254"/>
      <c r="Q31" s="255"/>
      <c r="R31" s="256">
        <f t="shared" si="16"/>
        <v>0</v>
      </c>
      <c r="S31" s="272" t="str">
        <f t="shared" si="10"/>
        <v/>
      </c>
      <c r="T31" s="258">
        <f t="shared" si="17"/>
        <v>0</v>
      </c>
      <c r="U31" s="259"/>
    </row>
    <row r="32" spans="2:21" outlineLevel="1" x14ac:dyDescent="0.3">
      <c r="F32" s="260"/>
      <c r="G32" s="270"/>
      <c r="H32" s="185"/>
      <c r="I32" s="185"/>
      <c r="J32" s="185"/>
      <c r="K32" s="22"/>
      <c r="L32" s="271"/>
      <c r="M32" s="252"/>
      <c r="N32" s="252"/>
      <c r="O32" s="252"/>
      <c r="P32" s="254"/>
      <c r="Q32" s="255"/>
      <c r="R32" s="256"/>
      <c r="S32" s="257"/>
      <c r="T32" s="258"/>
      <c r="U32" s="259"/>
    </row>
    <row r="33" spans="1:21" outlineLevel="1" x14ac:dyDescent="0.3">
      <c r="F33" s="260"/>
      <c r="G33" s="270"/>
      <c r="H33" s="185"/>
      <c r="I33" s="185"/>
      <c r="J33" s="185"/>
      <c r="K33" s="22"/>
      <c r="L33" s="271"/>
      <c r="M33" s="252"/>
      <c r="N33" s="252"/>
      <c r="O33" s="252"/>
      <c r="P33" s="254"/>
      <c r="Q33" s="255"/>
      <c r="R33" s="256"/>
      <c r="S33" s="257"/>
      <c r="T33" s="258"/>
      <c r="U33" s="259"/>
    </row>
    <row r="34" spans="1:21" x14ac:dyDescent="0.3">
      <c r="B34" s="222" t="s">
        <v>294</v>
      </c>
      <c r="F34" s="260"/>
      <c r="G34" s="261">
        <f>SUM(G35:G43)</f>
        <v>0</v>
      </c>
      <c r="H34" s="186">
        <f>SUM(H35:H43)</f>
        <v>0</v>
      </c>
      <c r="I34" s="186">
        <f>SUM(I35:I43)</f>
        <v>0</v>
      </c>
      <c r="J34" s="186">
        <f>SUM(J35:J43)</f>
        <v>0</v>
      </c>
      <c r="K34" s="347">
        <f>SUM(K35:K43)</f>
        <v>0</v>
      </c>
      <c r="L34" s="263">
        <f t="shared" ref="L34:R34" si="18">SUM(L35:L43)</f>
        <v>0</v>
      </c>
      <c r="M34" s="262">
        <f t="shared" si="18"/>
        <v>0</v>
      </c>
      <c r="N34" s="262">
        <f t="shared" si="18"/>
        <v>0</v>
      </c>
      <c r="O34" s="262">
        <f t="shared" si="18"/>
        <v>0</v>
      </c>
      <c r="P34" s="264">
        <f t="shared" si="18"/>
        <v>0</v>
      </c>
      <c r="Q34" s="265">
        <f>SUM(Q35:Q43)</f>
        <v>0</v>
      </c>
      <c r="R34" s="266">
        <f t="shared" si="18"/>
        <v>0</v>
      </c>
      <c r="S34" s="276" t="str">
        <f>IF(Q34=0,"",P34/Q34)</f>
        <v/>
      </c>
      <c r="T34" s="268">
        <f>SUM(T35:T43)</f>
        <v>0</v>
      </c>
      <c r="U34" s="277" t="str">
        <f>IF(G34=0,"",P34/G34)</f>
        <v/>
      </c>
    </row>
    <row r="35" spans="1:21" hidden="1" outlineLevel="1" x14ac:dyDescent="0.3">
      <c r="C35" s="220" t="s">
        <v>295</v>
      </c>
      <c r="F35" s="260"/>
      <c r="G35" s="270"/>
      <c r="H35" s="187"/>
      <c r="I35" s="185"/>
      <c r="J35" s="185"/>
      <c r="K35" s="22"/>
      <c r="L35" s="271">
        <f>+H35</f>
        <v>0</v>
      </c>
      <c r="M35" s="252">
        <f t="shared" ref="M35:O36" si="19">IF(I35=0,0,I35-H35)</f>
        <v>0</v>
      </c>
      <c r="N35" s="252">
        <f t="shared" si="19"/>
        <v>0</v>
      </c>
      <c r="O35" s="252">
        <f t="shared" si="19"/>
        <v>0</v>
      </c>
      <c r="P35" s="254">
        <f>SUM(L35:O35)</f>
        <v>0</v>
      </c>
      <c r="Q35" s="255"/>
      <c r="R35" s="256">
        <f>P35-Q35</f>
        <v>0</v>
      </c>
      <c r="S35" s="278" t="str">
        <f>IF(Q35=0,"",P35/Q35)</f>
        <v/>
      </c>
      <c r="T35" s="258">
        <f>P35-G35</f>
        <v>0</v>
      </c>
      <c r="U35" s="275" t="str">
        <f>IF(G35=0,"",P35/G35)</f>
        <v/>
      </c>
    </row>
    <row r="36" spans="1:21" hidden="1" outlineLevel="1" x14ac:dyDescent="0.3">
      <c r="C36" s="220" t="s">
        <v>399</v>
      </c>
      <c r="F36" s="260"/>
      <c r="G36" s="270"/>
      <c r="H36" s="187"/>
      <c r="I36" s="185"/>
      <c r="J36" s="185"/>
      <c r="K36" s="22"/>
      <c r="L36" s="271">
        <f>+H36</f>
        <v>0</v>
      </c>
      <c r="M36" s="252">
        <f t="shared" si="19"/>
        <v>0</v>
      </c>
      <c r="N36" s="252">
        <f t="shared" si="19"/>
        <v>0</v>
      </c>
      <c r="O36" s="252">
        <f t="shared" si="19"/>
        <v>0</v>
      </c>
      <c r="P36" s="254">
        <f>SUM(L36:O36)</f>
        <v>0</v>
      </c>
      <c r="Q36" s="279"/>
      <c r="R36" s="256">
        <f>P36-Q36</f>
        <v>0</v>
      </c>
      <c r="S36" s="278" t="str">
        <f>IF(Q36=0,"",P36/Q36)</f>
        <v/>
      </c>
      <c r="T36" s="258">
        <f>P36-G36</f>
        <v>0</v>
      </c>
      <c r="U36" s="275" t="str">
        <f>IF(G36=0,"",P36/G36)</f>
        <v/>
      </c>
    </row>
    <row r="37" spans="1:21" hidden="1" outlineLevel="1" x14ac:dyDescent="0.3">
      <c r="C37" s="220" t="s">
        <v>290</v>
      </c>
      <c r="F37" s="260" t="s">
        <v>291</v>
      </c>
      <c r="G37" s="270"/>
      <c r="H37" s="187"/>
      <c r="I37" s="185"/>
      <c r="J37" s="185"/>
      <c r="K37" s="22"/>
      <c r="L37" s="271"/>
      <c r="M37" s="252"/>
      <c r="N37" s="252"/>
      <c r="O37" s="252"/>
      <c r="P37" s="254"/>
      <c r="Q37" s="255"/>
      <c r="R37" s="256"/>
      <c r="S37" s="278"/>
      <c r="T37" s="258"/>
      <c r="U37" s="275"/>
    </row>
    <row r="38" spans="1:21" hidden="1" outlineLevel="1" x14ac:dyDescent="0.3">
      <c r="C38" s="220" t="s">
        <v>388</v>
      </c>
      <c r="F38" s="260" t="s">
        <v>389</v>
      </c>
      <c r="G38" s="270"/>
      <c r="H38" s="187"/>
      <c r="I38" s="185"/>
      <c r="J38" s="185"/>
      <c r="K38" s="22"/>
      <c r="L38" s="271">
        <f>+H38</f>
        <v>0</v>
      </c>
      <c r="M38" s="252">
        <f>IF(I38=0,0,I38-H38)</f>
        <v>0</v>
      </c>
      <c r="N38" s="252">
        <f t="shared" ref="N38:O42" si="20">IF(J38=0,0,J38-I38)</f>
        <v>0</v>
      </c>
      <c r="O38" s="252">
        <f t="shared" si="20"/>
        <v>0</v>
      </c>
      <c r="P38" s="254">
        <f>SUM(L38:O38)</f>
        <v>0</v>
      </c>
      <c r="Q38" s="255"/>
      <c r="R38" s="256">
        <f t="shared" ref="R38:R43" si="21">P38-Q38</f>
        <v>0</v>
      </c>
      <c r="S38" s="278" t="str">
        <f t="shared" ref="S38:S43" si="22">IF(Q38=0,"",P38/Q38)</f>
        <v/>
      </c>
      <c r="T38" s="258">
        <f t="shared" ref="T38:T43" si="23">P38-G38</f>
        <v>0</v>
      </c>
      <c r="U38" s="275" t="str">
        <f t="shared" ref="U38:U43" si="24">IF(G38=0,"",P38/G38)</f>
        <v/>
      </c>
    </row>
    <row r="39" spans="1:21" hidden="1" outlineLevel="1" x14ac:dyDescent="0.3">
      <c r="C39" s="220" t="s">
        <v>400</v>
      </c>
      <c r="F39" s="260"/>
      <c r="G39" s="270"/>
      <c r="H39" s="187"/>
      <c r="I39" s="185"/>
      <c r="J39" s="185"/>
      <c r="K39" s="22"/>
      <c r="L39" s="271">
        <f>+H39</f>
        <v>0</v>
      </c>
      <c r="M39" s="252">
        <f>IF(I39=0,0,I39-H39)</f>
        <v>0</v>
      </c>
      <c r="N39" s="252">
        <f t="shared" si="20"/>
        <v>0</v>
      </c>
      <c r="O39" s="252">
        <f t="shared" si="20"/>
        <v>0</v>
      </c>
      <c r="P39" s="254">
        <f>SUM(L39:O39)</f>
        <v>0</v>
      </c>
      <c r="Q39" s="255"/>
      <c r="R39" s="256">
        <f t="shared" si="21"/>
        <v>0</v>
      </c>
      <c r="S39" s="278" t="str">
        <f t="shared" si="22"/>
        <v/>
      </c>
      <c r="T39" s="258">
        <f t="shared" si="23"/>
        <v>0</v>
      </c>
      <c r="U39" s="275" t="str">
        <f t="shared" si="24"/>
        <v/>
      </c>
    </row>
    <row r="40" spans="1:21" hidden="1" outlineLevel="1" x14ac:dyDescent="0.3">
      <c r="C40" s="220" t="s">
        <v>393</v>
      </c>
      <c r="F40" s="260">
        <v>5490</v>
      </c>
      <c r="G40" s="270"/>
      <c r="H40" s="185"/>
      <c r="I40" s="185"/>
      <c r="J40" s="185"/>
      <c r="K40" s="22"/>
      <c r="L40" s="271">
        <f>+H40</f>
        <v>0</v>
      </c>
      <c r="M40" s="252">
        <f>IF(I40=0,0,I40-H40)</f>
        <v>0</v>
      </c>
      <c r="N40" s="252">
        <f t="shared" si="20"/>
        <v>0</v>
      </c>
      <c r="O40" s="252">
        <f t="shared" si="20"/>
        <v>0</v>
      </c>
      <c r="P40" s="254">
        <f>SUM(L40:O40)</f>
        <v>0</v>
      </c>
      <c r="Q40" s="255"/>
      <c r="R40" s="256">
        <f t="shared" si="21"/>
        <v>0</v>
      </c>
      <c r="S40" s="278" t="str">
        <f t="shared" si="22"/>
        <v/>
      </c>
      <c r="T40" s="258">
        <f t="shared" si="23"/>
        <v>0</v>
      </c>
      <c r="U40" s="275" t="str">
        <f t="shared" si="24"/>
        <v/>
      </c>
    </row>
    <row r="41" spans="1:21" hidden="1" outlineLevel="1" x14ac:dyDescent="0.3">
      <c r="F41" s="260"/>
      <c r="G41" s="270"/>
      <c r="H41" s="185"/>
      <c r="I41" s="185"/>
      <c r="J41" s="185"/>
      <c r="K41" s="22"/>
      <c r="L41" s="271">
        <f>+H41</f>
        <v>0</v>
      </c>
      <c r="M41" s="252">
        <f>IF(I41=0,0,I41-H41)</f>
        <v>0</v>
      </c>
      <c r="N41" s="252">
        <f t="shared" si="20"/>
        <v>0</v>
      </c>
      <c r="O41" s="252">
        <f t="shared" si="20"/>
        <v>0</v>
      </c>
      <c r="P41" s="254">
        <f>SUM(L41:O41)</f>
        <v>0</v>
      </c>
      <c r="Q41" s="255"/>
      <c r="R41" s="256">
        <f t="shared" si="21"/>
        <v>0</v>
      </c>
      <c r="S41" s="278" t="str">
        <f t="shared" si="22"/>
        <v/>
      </c>
      <c r="T41" s="258">
        <f t="shared" si="23"/>
        <v>0</v>
      </c>
      <c r="U41" s="275" t="str">
        <f t="shared" si="24"/>
        <v/>
      </c>
    </row>
    <row r="42" spans="1:21" hidden="1" outlineLevel="1" x14ac:dyDescent="0.3">
      <c r="F42" s="260"/>
      <c r="G42" s="270"/>
      <c r="H42" s="185"/>
      <c r="I42" s="185"/>
      <c r="J42" s="185"/>
      <c r="K42" s="22"/>
      <c r="L42" s="271">
        <f>+H42</f>
        <v>0</v>
      </c>
      <c r="M42" s="252">
        <f>IF(I42=0,0,I42-H42)</f>
        <v>0</v>
      </c>
      <c r="N42" s="252">
        <f t="shared" si="20"/>
        <v>0</v>
      </c>
      <c r="O42" s="252">
        <f t="shared" si="20"/>
        <v>0</v>
      </c>
      <c r="P42" s="254">
        <f>SUM(L42:O42)</f>
        <v>0</v>
      </c>
      <c r="Q42" s="255"/>
      <c r="R42" s="256">
        <f t="shared" si="21"/>
        <v>0</v>
      </c>
      <c r="S42" s="278" t="str">
        <f t="shared" si="22"/>
        <v/>
      </c>
      <c r="T42" s="258">
        <f t="shared" si="23"/>
        <v>0</v>
      </c>
      <c r="U42" s="275" t="str">
        <f t="shared" si="24"/>
        <v/>
      </c>
    </row>
    <row r="43" spans="1:21" hidden="1" outlineLevel="1" x14ac:dyDescent="0.3">
      <c r="F43" s="260"/>
      <c r="G43" s="270"/>
      <c r="H43" s="185"/>
      <c r="I43" s="185"/>
      <c r="J43" s="185"/>
      <c r="K43" s="22"/>
      <c r="L43" s="271"/>
      <c r="M43" s="252"/>
      <c r="N43" s="252"/>
      <c r="O43" s="252"/>
      <c r="P43" s="254"/>
      <c r="Q43" s="255"/>
      <c r="R43" s="256">
        <f t="shared" si="21"/>
        <v>0</v>
      </c>
      <c r="S43" s="278" t="str">
        <f t="shared" si="22"/>
        <v/>
      </c>
      <c r="T43" s="258">
        <f t="shared" si="23"/>
        <v>0</v>
      </c>
      <c r="U43" s="275" t="str">
        <f t="shared" si="24"/>
        <v/>
      </c>
    </row>
    <row r="44" spans="1:21" hidden="1" outlineLevel="1" x14ac:dyDescent="0.3">
      <c r="F44" s="260"/>
      <c r="G44" s="270"/>
      <c r="H44" s="185"/>
      <c r="I44" s="185"/>
      <c r="J44" s="185"/>
      <c r="K44" s="22"/>
      <c r="L44" s="271"/>
      <c r="M44" s="252"/>
      <c r="N44" s="252"/>
      <c r="O44" s="252"/>
      <c r="P44" s="254"/>
      <c r="Q44" s="255"/>
      <c r="R44" s="256"/>
      <c r="S44" s="257"/>
      <c r="T44" s="258"/>
      <c r="U44" s="259"/>
    </row>
    <row r="45" spans="1:21" collapsed="1" x14ac:dyDescent="0.3">
      <c r="A45" s="222" t="s">
        <v>401</v>
      </c>
      <c r="F45" s="260"/>
      <c r="G45" s="280">
        <f t="shared" ref="G45:Q45" si="25">+G8+G20+G34</f>
        <v>68614</v>
      </c>
      <c r="H45" s="188">
        <f t="shared" si="25"/>
        <v>6842.0899999999992</v>
      </c>
      <c r="I45" s="188">
        <f t="shared" si="25"/>
        <v>33185</v>
      </c>
      <c r="J45" s="188">
        <f t="shared" si="25"/>
        <v>53266</v>
      </c>
      <c r="K45" s="348">
        <f>+K8+K20+K34</f>
        <v>72036</v>
      </c>
      <c r="L45" s="282">
        <f t="shared" si="25"/>
        <v>6842.0899999999992</v>
      </c>
      <c r="M45" s="281">
        <f t="shared" si="25"/>
        <v>26342.91</v>
      </c>
      <c r="N45" s="281">
        <f t="shared" si="25"/>
        <v>20081</v>
      </c>
      <c r="O45" s="281">
        <f t="shared" si="25"/>
        <v>18770</v>
      </c>
      <c r="P45" s="283">
        <f t="shared" si="25"/>
        <v>72036</v>
      </c>
      <c r="Q45" s="284">
        <f t="shared" si="25"/>
        <v>68900</v>
      </c>
      <c r="R45" s="285">
        <f>R8+R20+R34</f>
        <v>3136</v>
      </c>
      <c r="S45" s="286">
        <f>IF(Q45=0,"",P45/Q45)</f>
        <v>1.0455152394775036</v>
      </c>
      <c r="T45" s="287">
        <f>T8+T20+T34</f>
        <v>3422</v>
      </c>
      <c r="U45" s="288">
        <f>IF(G45=0,"",P45/G45)</f>
        <v>1.0498732037193577</v>
      </c>
    </row>
    <row r="46" spans="1:21" x14ac:dyDescent="0.3">
      <c r="F46" s="260"/>
      <c r="G46" s="270"/>
      <c r="H46" s="185"/>
      <c r="I46" s="185"/>
      <c r="J46" s="185"/>
      <c r="K46" s="22"/>
      <c r="L46" s="271"/>
      <c r="M46" s="252"/>
      <c r="N46" s="252"/>
      <c r="O46" s="252"/>
      <c r="P46" s="254"/>
      <c r="Q46" s="255"/>
      <c r="R46" s="256"/>
      <c r="S46" s="257"/>
      <c r="T46" s="258"/>
      <c r="U46" s="259"/>
    </row>
    <row r="47" spans="1:21" x14ac:dyDescent="0.3">
      <c r="A47" s="222" t="s">
        <v>402</v>
      </c>
      <c r="F47" s="260"/>
      <c r="G47" s="270"/>
      <c r="H47" s="185"/>
      <c r="I47" s="185"/>
      <c r="J47" s="185"/>
      <c r="K47" s="22"/>
      <c r="L47" s="271">
        <f t="shared" ref="L47:L70" si="26">+H47</f>
        <v>0</v>
      </c>
      <c r="M47" s="252"/>
      <c r="N47" s="252"/>
      <c r="O47" s="252"/>
      <c r="P47" s="254"/>
      <c r="Q47" s="255"/>
      <c r="R47" s="256"/>
      <c r="S47" s="257"/>
      <c r="T47" s="258"/>
      <c r="U47" s="259"/>
    </row>
    <row r="48" spans="1:21" outlineLevel="1" x14ac:dyDescent="0.3">
      <c r="B48" s="220" t="s">
        <v>298</v>
      </c>
      <c r="F48" s="260"/>
      <c r="G48" s="270">
        <v>0</v>
      </c>
      <c r="H48" s="185"/>
      <c r="I48" s="185"/>
      <c r="J48" s="185"/>
      <c r="K48" s="22"/>
      <c r="L48" s="271">
        <f t="shared" si="26"/>
        <v>0</v>
      </c>
      <c r="M48" s="252">
        <f t="shared" ref="M48:M70" si="27">IF(I48=0,0,I48-H48)</f>
        <v>0</v>
      </c>
      <c r="N48" s="252">
        <f t="shared" ref="N48:O70" si="28">IF(J48=0,0,J48-I48)</f>
        <v>0</v>
      </c>
      <c r="O48" s="252">
        <f t="shared" si="28"/>
        <v>0</v>
      </c>
      <c r="P48" s="254">
        <f t="shared" ref="P48:P75" si="29">SUM(L48:O48)</f>
        <v>0</v>
      </c>
      <c r="Q48" s="255"/>
      <c r="R48" s="256">
        <f t="shared" ref="R48:R70" si="30">P48-Q48</f>
        <v>0</v>
      </c>
      <c r="S48" s="278" t="str">
        <f t="shared" ref="S48:S70" si="31">IF(Q48=0,"",P48/Q48)</f>
        <v/>
      </c>
      <c r="T48" s="258">
        <f t="shared" ref="T48:T70" si="32">P48-G48</f>
        <v>0</v>
      </c>
      <c r="U48" s="275" t="str">
        <f t="shared" ref="U48:U70" si="33">IF(G48=0,"",P48/G48)</f>
        <v/>
      </c>
    </row>
    <row r="49" spans="2:21" outlineLevel="1" x14ac:dyDescent="0.3">
      <c r="B49" s="220" t="s">
        <v>299</v>
      </c>
      <c r="F49" s="260" t="s">
        <v>300</v>
      </c>
      <c r="G49" s="270">
        <v>17868</v>
      </c>
      <c r="H49" s="185">
        <v>1682.26</v>
      </c>
      <c r="I49" s="185">
        <f>8718+377</f>
        <v>9095</v>
      </c>
      <c r="J49" s="185">
        <v>14170</v>
      </c>
      <c r="K49" s="22">
        <v>19227</v>
      </c>
      <c r="L49" s="271">
        <f t="shared" si="26"/>
        <v>1682.26</v>
      </c>
      <c r="M49" s="252">
        <f t="shared" si="27"/>
        <v>7412.74</v>
      </c>
      <c r="N49" s="252">
        <f t="shared" si="28"/>
        <v>5075</v>
      </c>
      <c r="O49" s="252">
        <f t="shared" si="28"/>
        <v>5057</v>
      </c>
      <c r="P49" s="254">
        <f t="shared" si="29"/>
        <v>19227</v>
      </c>
      <c r="Q49" s="255">
        <v>19600.000000000004</v>
      </c>
      <c r="R49" s="256">
        <f t="shared" si="30"/>
        <v>-373.00000000000364</v>
      </c>
      <c r="S49" s="278">
        <f t="shared" si="31"/>
        <v>0.9809693877551019</v>
      </c>
      <c r="T49" s="258">
        <f t="shared" si="32"/>
        <v>1359</v>
      </c>
      <c r="U49" s="275">
        <f t="shared" si="33"/>
        <v>1.0760577568838146</v>
      </c>
    </row>
    <row r="50" spans="2:21" outlineLevel="1" x14ac:dyDescent="0.3">
      <c r="B50" s="220" t="s">
        <v>301</v>
      </c>
      <c r="F50" s="260"/>
      <c r="G50" s="270">
        <v>0</v>
      </c>
      <c r="H50" s="187"/>
      <c r="I50" s="185"/>
      <c r="J50" s="185"/>
      <c r="K50" s="22"/>
      <c r="L50" s="271">
        <f t="shared" si="26"/>
        <v>0</v>
      </c>
      <c r="M50" s="252">
        <f t="shared" si="27"/>
        <v>0</v>
      </c>
      <c r="N50" s="252">
        <f t="shared" si="28"/>
        <v>0</v>
      </c>
      <c r="O50" s="252">
        <f t="shared" si="28"/>
        <v>0</v>
      </c>
      <c r="P50" s="254">
        <f t="shared" si="29"/>
        <v>0</v>
      </c>
      <c r="Q50" s="255"/>
      <c r="R50" s="256">
        <f t="shared" si="30"/>
        <v>0</v>
      </c>
      <c r="S50" s="278" t="str">
        <f t="shared" si="31"/>
        <v/>
      </c>
      <c r="T50" s="258">
        <f t="shared" si="32"/>
        <v>0</v>
      </c>
      <c r="U50" s="275" t="str">
        <f t="shared" si="33"/>
        <v/>
      </c>
    </row>
    <row r="51" spans="2:21" outlineLevel="1" x14ac:dyDescent="0.3">
      <c r="B51" s="220" t="s">
        <v>302</v>
      </c>
      <c r="F51" s="260" t="s">
        <v>303</v>
      </c>
      <c r="G51" s="270">
        <v>4899</v>
      </c>
      <c r="H51" s="187">
        <f>1119.76+1121.77</f>
        <v>2241.5299999999997</v>
      </c>
      <c r="I51" s="185">
        <v>1120</v>
      </c>
      <c r="J51" s="185">
        <v>768</v>
      </c>
      <c r="K51" s="22">
        <v>768</v>
      </c>
      <c r="L51" s="271">
        <f t="shared" si="26"/>
        <v>2241.5299999999997</v>
      </c>
      <c r="M51" s="252">
        <f t="shared" si="27"/>
        <v>-1121.5299999999997</v>
      </c>
      <c r="N51" s="252">
        <f t="shared" si="28"/>
        <v>-352</v>
      </c>
      <c r="O51" s="252">
        <f t="shared" si="28"/>
        <v>0</v>
      </c>
      <c r="P51" s="254">
        <f t="shared" si="29"/>
        <v>768</v>
      </c>
      <c r="Q51" s="255">
        <v>3843</v>
      </c>
      <c r="R51" s="256">
        <f t="shared" si="30"/>
        <v>-3075</v>
      </c>
      <c r="S51" s="278">
        <f t="shared" si="31"/>
        <v>0.19984387197501952</v>
      </c>
      <c r="T51" s="258">
        <f t="shared" si="32"/>
        <v>-4131</v>
      </c>
      <c r="U51" s="275">
        <f t="shared" si="33"/>
        <v>0.15676668707899571</v>
      </c>
    </row>
    <row r="52" spans="2:21" outlineLevel="1" x14ac:dyDescent="0.3">
      <c r="B52" s="220" t="s">
        <v>304</v>
      </c>
      <c r="E52" s="289" t="s">
        <v>418</v>
      </c>
      <c r="F52" s="260"/>
      <c r="G52" s="270">
        <f>G149</f>
        <v>6911</v>
      </c>
      <c r="H52" s="187">
        <f>H149</f>
        <v>1477.3400000000001</v>
      </c>
      <c r="I52" s="187">
        <f>I149</f>
        <v>3271</v>
      </c>
      <c r="J52" s="185">
        <f>J149</f>
        <v>5435</v>
      </c>
      <c r="K52" s="22">
        <f>K149</f>
        <v>7636</v>
      </c>
      <c r="L52" s="271">
        <f t="shared" si="26"/>
        <v>1477.3400000000001</v>
      </c>
      <c r="M52" s="252">
        <f t="shared" si="27"/>
        <v>1793.6599999999999</v>
      </c>
      <c r="N52" s="252">
        <f t="shared" si="28"/>
        <v>2164</v>
      </c>
      <c r="O52" s="252">
        <f t="shared" si="28"/>
        <v>2201</v>
      </c>
      <c r="P52" s="254">
        <f t="shared" si="29"/>
        <v>7636</v>
      </c>
      <c r="Q52" s="338">
        <f>Q149</f>
        <v>6917</v>
      </c>
      <c r="R52" s="256">
        <f t="shared" si="30"/>
        <v>719</v>
      </c>
      <c r="S52" s="278">
        <f t="shared" si="31"/>
        <v>1.1039467977446871</v>
      </c>
      <c r="T52" s="258">
        <f t="shared" si="32"/>
        <v>725</v>
      </c>
      <c r="U52" s="275">
        <f t="shared" si="33"/>
        <v>1.1049052235566488</v>
      </c>
    </row>
    <row r="53" spans="2:21" outlineLevel="1" x14ac:dyDescent="0.3">
      <c r="B53" s="220" t="s">
        <v>305</v>
      </c>
      <c r="E53" s="289" t="s">
        <v>418</v>
      </c>
      <c r="F53" s="260"/>
      <c r="G53" s="270">
        <f>G158</f>
        <v>4565</v>
      </c>
      <c r="H53" s="187">
        <f>H158</f>
        <v>760.44</v>
      </c>
      <c r="I53" s="187">
        <f>I158</f>
        <v>3138</v>
      </c>
      <c r="J53" s="185">
        <f>J158</f>
        <v>4506</v>
      </c>
      <c r="K53" s="22">
        <f>K158</f>
        <v>5234</v>
      </c>
      <c r="L53" s="271">
        <f t="shared" si="26"/>
        <v>760.44</v>
      </c>
      <c r="M53" s="252">
        <f t="shared" si="27"/>
        <v>2377.56</v>
      </c>
      <c r="N53" s="252">
        <f t="shared" si="28"/>
        <v>1368</v>
      </c>
      <c r="O53" s="252">
        <f t="shared" si="28"/>
        <v>728</v>
      </c>
      <c r="P53" s="254">
        <f t="shared" si="29"/>
        <v>5234</v>
      </c>
      <c r="Q53" s="338">
        <f>Q158</f>
        <v>5190</v>
      </c>
      <c r="R53" s="256">
        <f t="shared" si="30"/>
        <v>44</v>
      </c>
      <c r="S53" s="278">
        <f t="shared" si="31"/>
        <v>1.0084778420038536</v>
      </c>
      <c r="T53" s="258">
        <f t="shared" si="32"/>
        <v>669</v>
      </c>
      <c r="U53" s="275">
        <f t="shared" si="33"/>
        <v>1.1465498357064623</v>
      </c>
    </row>
    <row r="54" spans="2:21" outlineLevel="1" x14ac:dyDescent="0.3">
      <c r="B54" s="220" t="s">
        <v>306</v>
      </c>
      <c r="E54" s="289" t="s">
        <v>418</v>
      </c>
      <c r="F54" s="260"/>
      <c r="G54" s="270">
        <f>G140</f>
        <v>5247</v>
      </c>
      <c r="H54" s="187">
        <f>H140</f>
        <v>0</v>
      </c>
      <c r="I54" s="187">
        <f>I140</f>
        <v>5446</v>
      </c>
      <c r="J54" s="185">
        <f>J140</f>
        <v>5446</v>
      </c>
      <c r="K54" s="22">
        <f>K140</f>
        <v>5446</v>
      </c>
      <c r="L54" s="271">
        <f t="shared" si="26"/>
        <v>0</v>
      </c>
      <c r="M54" s="252">
        <f t="shared" si="27"/>
        <v>5446</v>
      </c>
      <c r="N54" s="252">
        <f t="shared" si="28"/>
        <v>0</v>
      </c>
      <c r="O54" s="252">
        <f t="shared" si="28"/>
        <v>0</v>
      </c>
      <c r="P54" s="254">
        <f t="shared" si="29"/>
        <v>5446</v>
      </c>
      <c r="Q54" s="338">
        <f>Q140</f>
        <v>5181</v>
      </c>
      <c r="R54" s="256">
        <f t="shared" si="30"/>
        <v>265</v>
      </c>
      <c r="S54" s="278">
        <f t="shared" si="31"/>
        <v>1.0511484269446052</v>
      </c>
      <c r="T54" s="258">
        <f t="shared" si="32"/>
        <v>199</v>
      </c>
      <c r="U54" s="275">
        <f t="shared" si="33"/>
        <v>1.0379264341528494</v>
      </c>
    </row>
    <row r="55" spans="2:21" outlineLevel="1" x14ac:dyDescent="0.3">
      <c r="B55" s="220" t="s">
        <v>307</v>
      </c>
      <c r="F55" s="260"/>
      <c r="G55" s="270">
        <v>1875</v>
      </c>
      <c r="H55" s="187"/>
      <c r="I55" s="185"/>
      <c r="J55" s="185"/>
      <c r="K55" s="22"/>
      <c r="L55" s="271">
        <f t="shared" si="26"/>
        <v>0</v>
      </c>
      <c r="M55" s="252">
        <f t="shared" si="27"/>
        <v>0</v>
      </c>
      <c r="N55" s="252">
        <f t="shared" si="28"/>
        <v>0</v>
      </c>
      <c r="O55" s="252">
        <f t="shared" si="28"/>
        <v>0</v>
      </c>
      <c r="P55" s="254">
        <f t="shared" si="29"/>
        <v>0</v>
      </c>
      <c r="Q55" s="255">
        <v>1500</v>
      </c>
      <c r="R55" s="256">
        <f t="shared" si="30"/>
        <v>-1500</v>
      </c>
      <c r="S55" s="278">
        <f t="shared" si="31"/>
        <v>0</v>
      </c>
      <c r="T55" s="258">
        <f t="shared" si="32"/>
        <v>-1875</v>
      </c>
      <c r="U55" s="275">
        <f t="shared" si="33"/>
        <v>0</v>
      </c>
    </row>
    <row r="56" spans="2:21" outlineLevel="1" x14ac:dyDescent="0.3">
      <c r="B56" s="220" t="s">
        <v>157</v>
      </c>
      <c r="F56" s="260">
        <v>8222</v>
      </c>
      <c r="G56" s="270">
        <v>1734</v>
      </c>
      <c r="H56" s="187">
        <v>445.98</v>
      </c>
      <c r="I56" s="185">
        <v>892</v>
      </c>
      <c r="J56" s="185">
        <v>1338</v>
      </c>
      <c r="K56" s="22">
        <v>1864</v>
      </c>
      <c r="L56" s="271">
        <f t="shared" si="26"/>
        <v>445.98</v>
      </c>
      <c r="M56" s="252">
        <f t="shared" si="27"/>
        <v>446.02</v>
      </c>
      <c r="N56" s="252">
        <f t="shared" si="28"/>
        <v>446</v>
      </c>
      <c r="O56" s="252">
        <f t="shared" si="28"/>
        <v>526</v>
      </c>
      <c r="P56" s="254">
        <f t="shared" si="29"/>
        <v>1864</v>
      </c>
      <c r="Q56" s="255">
        <v>1750</v>
      </c>
      <c r="R56" s="256">
        <f t="shared" si="30"/>
        <v>114</v>
      </c>
      <c r="S56" s="278">
        <f t="shared" si="31"/>
        <v>1.0651428571428572</v>
      </c>
      <c r="T56" s="258">
        <f t="shared" si="32"/>
        <v>130</v>
      </c>
      <c r="U56" s="275">
        <f t="shared" si="33"/>
        <v>1.0749711649365628</v>
      </c>
    </row>
    <row r="57" spans="2:21" outlineLevel="1" x14ac:dyDescent="0.3">
      <c r="B57" s="220" t="s">
        <v>158</v>
      </c>
      <c r="F57" s="260">
        <v>8224</v>
      </c>
      <c r="G57" s="270">
        <v>210</v>
      </c>
      <c r="H57" s="187">
        <v>70.5</v>
      </c>
      <c r="I57" s="185">
        <v>71</v>
      </c>
      <c r="J57" s="185">
        <v>71</v>
      </c>
      <c r="K57" s="22">
        <v>71</v>
      </c>
      <c r="L57" s="271">
        <f t="shared" si="26"/>
        <v>70.5</v>
      </c>
      <c r="M57" s="252">
        <f t="shared" si="27"/>
        <v>0.5</v>
      </c>
      <c r="N57" s="252">
        <f t="shared" si="28"/>
        <v>0</v>
      </c>
      <c r="O57" s="252">
        <f t="shared" si="28"/>
        <v>0</v>
      </c>
      <c r="P57" s="254">
        <f t="shared" si="29"/>
        <v>71</v>
      </c>
      <c r="Q57" s="255">
        <v>214</v>
      </c>
      <c r="R57" s="256">
        <f t="shared" si="30"/>
        <v>-143</v>
      </c>
      <c r="S57" s="278">
        <f t="shared" si="31"/>
        <v>0.33177570093457942</v>
      </c>
      <c r="T57" s="258">
        <f t="shared" si="32"/>
        <v>-139</v>
      </c>
      <c r="U57" s="275">
        <f t="shared" si="33"/>
        <v>0.33809523809523812</v>
      </c>
    </row>
    <row r="58" spans="2:21" outlineLevel="1" x14ac:dyDescent="0.3">
      <c r="B58" s="220" t="s">
        <v>159</v>
      </c>
      <c r="F58" s="260">
        <v>8116</v>
      </c>
      <c r="G58" s="270">
        <v>3529</v>
      </c>
      <c r="H58" s="187">
        <f>485.55+461.63</f>
        <v>947.18000000000006</v>
      </c>
      <c r="I58" s="185">
        <f>1332+461</f>
        <v>1793</v>
      </c>
      <c r="J58" s="185">
        <f>3096+462</f>
        <v>3558</v>
      </c>
      <c r="K58" s="30">
        <f>3141+845+1045</f>
        <v>5031</v>
      </c>
      <c r="L58" s="271">
        <f t="shared" si="26"/>
        <v>947.18000000000006</v>
      </c>
      <c r="M58" s="252">
        <f t="shared" si="27"/>
        <v>845.81999999999994</v>
      </c>
      <c r="N58" s="252">
        <f t="shared" si="28"/>
        <v>1765</v>
      </c>
      <c r="O58" s="252">
        <f t="shared" si="28"/>
        <v>1473</v>
      </c>
      <c r="P58" s="254">
        <f t="shared" si="29"/>
        <v>5031</v>
      </c>
      <c r="Q58" s="255">
        <v>2761</v>
      </c>
      <c r="R58" s="256">
        <f t="shared" si="30"/>
        <v>2270</v>
      </c>
      <c r="S58" s="278">
        <f t="shared" si="31"/>
        <v>1.822165881926838</v>
      </c>
      <c r="T58" s="258">
        <f t="shared" si="32"/>
        <v>1502</v>
      </c>
      <c r="U58" s="275">
        <f t="shared" si="33"/>
        <v>1.4256163219042222</v>
      </c>
    </row>
    <row r="59" spans="2:21" outlineLevel="1" x14ac:dyDescent="0.3">
      <c r="B59" s="220" t="s">
        <v>160</v>
      </c>
      <c r="F59" s="260">
        <v>8540</v>
      </c>
      <c r="G59" s="270">
        <v>1761</v>
      </c>
      <c r="H59" s="187">
        <v>321.2</v>
      </c>
      <c r="I59" s="185">
        <v>321</v>
      </c>
      <c r="J59" s="185">
        <v>771</v>
      </c>
      <c r="K59" s="22">
        <v>771</v>
      </c>
      <c r="L59" s="271">
        <f t="shared" si="26"/>
        <v>321.2</v>
      </c>
      <c r="M59" s="252">
        <f t="shared" si="27"/>
        <v>-0.19999999999998863</v>
      </c>
      <c r="N59" s="252">
        <f t="shared" si="28"/>
        <v>450</v>
      </c>
      <c r="O59" s="252">
        <f t="shared" si="28"/>
        <v>0</v>
      </c>
      <c r="P59" s="254">
        <f t="shared" si="29"/>
        <v>771</v>
      </c>
      <c r="Q59" s="255">
        <v>1418</v>
      </c>
      <c r="R59" s="256">
        <f t="shared" si="30"/>
        <v>-647</v>
      </c>
      <c r="S59" s="278">
        <f t="shared" si="31"/>
        <v>0.54372355430183361</v>
      </c>
      <c r="T59" s="258">
        <f t="shared" si="32"/>
        <v>-990</v>
      </c>
      <c r="U59" s="275">
        <f t="shared" si="33"/>
        <v>0.43781942078364566</v>
      </c>
    </row>
    <row r="60" spans="2:21" outlineLevel="1" x14ac:dyDescent="0.3">
      <c r="B60" s="220" t="s">
        <v>161</v>
      </c>
      <c r="F60" s="260">
        <v>8117</v>
      </c>
      <c r="G60" s="270">
        <v>306</v>
      </c>
      <c r="H60" s="187"/>
      <c r="I60" s="185">
        <v>813</v>
      </c>
      <c r="J60" s="185">
        <v>813</v>
      </c>
      <c r="K60" s="22">
        <v>813</v>
      </c>
      <c r="L60" s="271">
        <f t="shared" si="26"/>
        <v>0</v>
      </c>
      <c r="M60" s="252">
        <f t="shared" si="27"/>
        <v>813</v>
      </c>
      <c r="N60" s="252">
        <f t="shared" si="28"/>
        <v>0</v>
      </c>
      <c r="O60" s="252">
        <f t="shared" si="28"/>
        <v>0</v>
      </c>
      <c r="P60" s="254">
        <f t="shared" si="29"/>
        <v>813</v>
      </c>
      <c r="Q60" s="255">
        <v>350</v>
      </c>
      <c r="R60" s="256">
        <f t="shared" si="30"/>
        <v>463</v>
      </c>
      <c r="S60" s="278">
        <f t="shared" si="31"/>
        <v>2.322857142857143</v>
      </c>
      <c r="T60" s="258">
        <f t="shared" si="32"/>
        <v>507</v>
      </c>
      <c r="U60" s="275">
        <f t="shared" si="33"/>
        <v>2.6568627450980391</v>
      </c>
    </row>
    <row r="61" spans="2:21" outlineLevel="1" x14ac:dyDescent="0.3">
      <c r="B61" s="220" t="s">
        <v>162</v>
      </c>
      <c r="F61" s="260" t="s">
        <v>163</v>
      </c>
      <c r="G61" s="270">
        <v>354</v>
      </c>
      <c r="H61" s="187"/>
      <c r="I61" s="185"/>
      <c r="J61" s="185"/>
      <c r="K61" s="22"/>
      <c r="L61" s="271">
        <f t="shared" si="26"/>
        <v>0</v>
      </c>
      <c r="M61" s="252">
        <f t="shared" si="27"/>
        <v>0</v>
      </c>
      <c r="N61" s="252">
        <f t="shared" si="28"/>
        <v>0</v>
      </c>
      <c r="O61" s="252">
        <f t="shared" si="28"/>
        <v>0</v>
      </c>
      <c r="P61" s="254">
        <f t="shared" si="29"/>
        <v>0</v>
      </c>
      <c r="Q61" s="255">
        <v>385</v>
      </c>
      <c r="R61" s="256">
        <f t="shared" si="30"/>
        <v>-385</v>
      </c>
      <c r="S61" s="278">
        <f t="shared" si="31"/>
        <v>0</v>
      </c>
      <c r="T61" s="258">
        <f t="shared" si="32"/>
        <v>-354</v>
      </c>
      <c r="U61" s="275">
        <f t="shared" si="33"/>
        <v>0</v>
      </c>
    </row>
    <row r="62" spans="2:21" outlineLevel="1" x14ac:dyDescent="0.3">
      <c r="B62" s="220" t="s">
        <v>164</v>
      </c>
      <c r="F62" s="260">
        <v>8231</v>
      </c>
      <c r="G62" s="270">
        <v>1018</v>
      </c>
      <c r="H62" s="187"/>
      <c r="I62" s="185"/>
      <c r="J62" s="185">
        <v>528</v>
      </c>
      <c r="K62" s="22">
        <v>1055</v>
      </c>
      <c r="L62" s="271">
        <f t="shared" si="26"/>
        <v>0</v>
      </c>
      <c r="M62" s="252">
        <f t="shared" si="27"/>
        <v>0</v>
      </c>
      <c r="N62" s="252">
        <f t="shared" si="28"/>
        <v>528</v>
      </c>
      <c r="O62" s="252">
        <f t="shared" si="28"/>
        <v>527</v>
      </c>
      <c r="P62" s="254">
        <f t="shared" si="29"/>
        <v>1055</v>
      </c>
      <c r="Q62" s="255">
        <v>1050</v>
      </c>
      <c r="R62" s="256">
        <f t="shared" si="30"/>
        <v>5</v>
      </c>
      <c r="S62" s="278">
        <f t="shared" si="31"/>
        <v>1.0047619047619047</v>
      </c>
      <c r="T62" s="258">
        <f t="shared" si="32"/>
        <v>37</v>
      </c>
      <c r="U62" s="275">
        <f t="shared" si="33"/>
        <v>1.0363457760314341</v>
      </c>
    </row>
    <row r="63" spans="2:21" outlineLevel="1" x14ac:dyDescent="0.3">
      <c r="B63" s="220" t="s">
        <v>165</v>
      </c>
      <c r="F63" s="260"/>
      <c r="G63" s="270">
        <v>0</v>
      </c>
      <c r="H63" s="187"/>
      <c r="I63" s="185"/>
      <c r="J63" s="185"/>
      <c r="K63" s="22"/>
      <c r="L63" s="271">
        <f t="shared" si="26"/>
        <v>0</v>
      </c>
      <c r="M63" s="252">
        <f t="shared" si="27"/>
        <v>0</v>
      </c>
      <c r="N63" s="252">
        <f t="shared" si="28"/>
        <v>0</v>
      </c>
      <c r="O63" s="252">
        <f t="shared" ref="O63:O75" si="34">IF(K63=0,0,K63-J63)</f>
        <v>0</v>
      </c>
      <c r="P63" s="254">
        <f t="shared" si="29"/>
        <v>0</v>
      </c>
      <c r="Q63" s="255"/>
      <c r="R63" s="256">
        <f t="shared" si="30"/>
        <v>0</v>
      </c>
      <c r="S63" s="278" t="str">
        <f t="shared" si="31"/>
        <v/>
      </c>
      <c r="T63" s="258">
        <f t="shared" si="32"/>
        <v>0</v>
      </c>
      <c r="U63" s="275" t="str">
        <f t="shared" si="33"/>
        <v/>
      </c>
    </row>
    <row r="64" spans="2:21" outlineLevel="1" x14ac:dyDescent="0.3">
      <c r="B64" s="220" t="s">
        <v>166</v>
      </c>
      <c r="F64" s="260"/>
      <c r="G64" s="270">
        <v>0</v>
      </c>
      <c r="H64" s="187"/>
      <c r="I64" s="185"/>
      <c r="J64" s="185"/>
      <c r="K64" s="22"/>
      <c r="L64" s="271">
        <f t="shared" si="26"/>
        <v>0</v>
      </c>
      <c r="M64" s="252">
        <f t="shared" si="27"/>
        <v>0</v>
      </c>
      <c r="N64" s="252">
        <f t="shared" si="28"/>
        <v>0</v>
      </c>
      <c r="O64" s="252">
        <f t="shared" si="34"/>
        <v>0</v>
      </c>
      <c r="P64" s="254">
        <f t="shared" si="29"/>
        <v>0</v>
      </c>
      <c r="Q64" s="255"/>
      <c r="R64" s="256">
        <f t="shared" si="30"/>
        <v>0</v>
      </c>
      <c r="S64" s="278" t="str">
        <f t="shared" si="31"/>
        <v/>
      </c>
      <c r="T64" s="258">
        <f t="shared" si="32"/>
        <v>0</v>
      </c>
      <c r="U64" s="275" t="str">
        <f t="shared" si="33"/>
        <v/>
      </c>
    </row>
    <row r="65" spans="1:21" outlineLevel="1" x14ac:dyDescent="0.3">
      <c r="B65" s="220" t="s">
        <v>167</v>
      </c>
      <c r="F65" s="260">
        <v>8232</v>
      </c>
      <c r="G65" s="270">
        <v>2414</v>
      </c>
      <c r="H65" s="187"/>
      <c r="I65" s="185"/>
      <c r="J65" s="185"/>
      <c r="K65" s="22">
        <v>2453</v>
      </c>
      <c r="L65" s="271">
        <f t="shared" si="26"/>
        <v>0</v>
      </c>
      <c r="M65" s="252">
        <f t="shared" si="27"/>
        <v>0</v>
      </c>
      <c r="N65" s="252">
        <f t="shared" si="28"/>
        <v>0</v>
      </c>
      <c r="O65" s="252">
        <f t="shared" si="34"/>
        <v>2453</v>
      </c>
      <c r="P65" s="254">
        <f t="shared" si="29"/>
        <v>2453</v>
      </c>
      <c r="Q65" s="255">
        <v>2425</v>
      </c>
      <c r="R65" s="256">
        <f t="shared" si="30"/>
        <v>28</v>
      </c>
      <c r="S65" s="278">
        <f t="shared" si="31"/>
        <v>1.0115463917525773</v>
      </c>
      <c r="T65" s="258">
        <f t="shared" si="32"/>
        <v>39</v>
      </c>
      <c r="U65" s="275">
        <f t="shared" si="33"/>
        <v>1.0161557580778791</v>
      </c>
    </row>
    <row r="66" spans="1:21" outlineLevel="1" x14ac:dyDescent="0.3">
      <c r="B66" s="220" t="s">
        <v>168</v>
      </c>
      <c r="F66" s="260"/>
      <c r="G66" s="270">
        <v>0</v>
      </c>
      <c r="H66" s="187"/>
      <c r="I66" s="185"/>
      <c r="J66" s="185"/>
      <c r="K66" s="22"/>
      <c r="L66" s="271">
        <f t="shared" si="26"/>
        <v>0</v>
      </c>
      <c r="M66" s="252">
        <f t="shared" si="27"/>
        <v>0</v>
      </c>
      <c r="N66" s="252">
        <f t="shared" si="28"/>
        <v>0</v>
      </c>
      <c r="O66" s="252">
        <f t="shared" si="34"/>
        <v>0</v>
      </c>
      <c r="P66" s="254">
        <f t="shared" si="29"/>
        <v>0</v>
      </c>
      <c r="Q66" s="279"/>
      <c r="R66" s="256">
        <f t="shared" si="30"/>
        <v>0</v>
      </c>
      <c r="S66" s="278" t="str">
        <f t="shared" si="31"/>
        <v/>
      </c>
      <c r="T66" s="258">
        <f t="shared" si="32"/>
        <v>0</v>
      </c>
      <c r="U66" s="275" t="str">
        <f t="shared" si="33"/>
        <v/>
      </c>
    </row>
    <row r="67" spans="1:21" outlineLevel="1" x14ac:dyDescent="0.3">
      <c r="B67" s="220" t="s">
        <v>169</v>
      </c>
      <c r="F67" s="260"/>
      <c r="G67" s="270">
        <v>0</v>
      </c>
      <c r="H67" s="187">
        <v>60</v>
      </c>
      <c r="I67" s="185">
        <v>60</v>
      </c>
      <c r="J67" s="185">
        <v>60</v>
      </c>
      <c r="K67" s="22">
        <v>60</v>
      </c>
      <c r="L67" s="271">
        <f t="shared" si="26"/>
        <v>60</v>
      </c>
      <c r="M67" s="252">
        <f t="shared" si="27"/>
        <v>0</v>
      </c>
      <c r="N67" s="252">
        <f t="shared" si="28"/>
        <v>0</v>
      </c>
      <c r="O67" s="252">
        <f t="shared" si="34"/>
        <v>0</v>
      </c>
      <c r="P67" s="254">
        <f t="shared" si="29"/>
        <v>60</v>
      </c>
      <c r="Q67" s="255"/>
      <c r="R67" s="256">
        <f t="shared" si="30"/>
        <v>60</v>
      </c>
      <c r="S67" s="278" t="str">
        <f t="shared" si="31"/>
        <v/>
      </c>
      <c r="T67" s="258">
        <f t="shared" si="32"/>
        <v>60</v>
      </c>
      <c r="U67" s="275" t="str">
        <f t="shared" si="33"/>
        <v/>
      </c>
    </row>
    <row r="68" spans="1:21" outlineLevel="1" x14ac:dyDescent="0.3">
      <c r="B68" s="220" t="s">
        <v>170</v>
      </c>
      <c r="E68" s="289" t="s">
        <v>418</v>
      </c>
      <c r="F68" s="260"/>
      <c r="G68" s="270">
        <f>G167</f>
        <v>331</v>
      </c>
      <c r="H68" s="187">
        <f>H167</f>
        <v>53.47</v>
      </c>
      <c r="I68" s="187">
        <f>I167</f>
        <v>54</v>
      </c>
      <c r="J68" s="185">
        <f>J167</f>
        <v>278</v>
      </c>
      <c r="K68" s="22">
        <f>K167</f>
        <v>633</v>
      </c>
      <c r="L68" s="271">
        <f t="shared" si="26"/>
        <v>53.47</v>
      </c>
      <c r="M68" s="252">
        <f t="shared" si="27"/>
        <v>0.53000000000000114</v>
      </c>
      <c r="N68" s="252">
        <f t="shared" si="28"/>
        <v>224</v>
      </c>
      <c r="O68" s="252">
        <f t="shared" si="34"/>
        <v>355</v>
      </c>
      <c r="P68" s="254">
        <f t="shared" si="29"/>
        <v>633</v>
      </c>
      <c r="Q68" s="338">
        <f>Q167</f>
        <v>422</v>
      </c>
      <c r="R68" s="256">
        <f t="shared" si="30"/>
        <v>211</v>
      </c>
      <c r="S68" s="278">
        <f t="shared" si="31"/>
        <v>1.5</v>
      </c>
      <c r="T68" s="258">
        <f t="shared" si="32"/>
        <v>302</v>
      </c>
      <c r="U68" s="275">
        <f t="shared" si="33"/>
        <v>1.9123867069486404</v>
      </c>
    </row>
    <row r="69" spans="1:21" outlineLevel="1" x14ac:dyDescent="0.3">
      <c r="B69" s="220" t="s">
        <v>171</v>
      </c>
      <c r="F69" s="260"/>
      <c r="G69" s="270">
        <v>0</v>
      </c>
      <c r="H69" s="187"/>
      <c r="I69" s="185"/>
      <c r="J69" s="185"/>
      <c r="K69" s="22"/>
      <c r="L69" s="271">
        <f t="shared" si="26"/>
        <v>0</v>
      </c>
      <c r="M69" s="252">
        <f t="shared" si="27"/>
        <v>0</v>
      </c>
      <c r="N69" s="252">
        <f t="shared" si="28"/>
        <v>0</v>
      </c>
      <c r="O69" s="252">
        <f t="shared" si="34"/>
        <v>0</v>
      </c>
      <c r="P69" s="254">
        <f t="shared" si="29"/>
        <v>0</v>
      </c>
      <c r="Q69" s="255"/>
      <c r="R69" s="256">
        <f t="shared" si="30"/>
        <v>0</v>
      </c>
      <c r="S69" s="278" t="str">
        <f t="shared" si="31"/>
        <v/>
      </c>
      <c r="T69" s="258">
        <f t="shared" si="32"/>
        <v>0</v>
      </c>
      <c r="U69" s="275" t="str">
        <f t="shared" si="33"/>
        <v/>
      </c>
    </row>
    <row r="70" spans="1:21" outlineLevel="1" x14ac:dyDescent="0.3">
      <c r="B70" s="220" t="s">
        <v>172</v>
      </c>
      <c r="F70" s="260"/>
      <c r="G70" s="270">
        <v>0</v>
      </c>
      <c r="H70" s="187"/>
      <c r="I70" s="185"/>
      <c r="J70" s="185"/>
      <c r="K70" s="22"/>
      <c r="L70" s="271">
        <f t="shared" si="26"/>
        <v>0</v>
      </c>
      <c r="M70" s="252">
        <f t="shared" si="27"/>
        <v>0</v>
      </c>
      <c r="N70" s="252">
        <f t="shared" si="28"/>
        <v>0</v>
      </c>
      <c r="O70" s="252">
        <f t="shared" si="34"/>
        <v>0</v>
      </c>
      <c r="P70" s="254">
        <f t="shared" si="29"/>
        <v>0</v>
      </c>
      <c r="Q70" s="255"/>
      <c r="R70" s="256">
        <f t="shared" si="30"/>
        <v>0</v>
      </c>
      <c r="S70" s="278" t="str">
        <f t="shared" si="31"/>
        <v/>
      </c>
      <c r="T70" s="258">
        <f t="shared" si="32"/>
        <v>0</v>
      </c>
      <c r="U70" s="275" t="str">
        <f t="shared" si="33"/>
        <v/>
      </c>
    </row>
    <row r="71" spans="1:21" outlineLevel="1" x14ac:dyDescent="0.3">
      <c r="F71" s="260"/>
      <c r="G71" s="270">
        <v>0</v>
      </c>
      <c r="H71" s="187"/>
      <c r="I71" s="185"/>
      <c r="J71" s="185"/>
      <c r="K71" s="22"/>
      <c r="L71" s="271"/>
      <c r="M71" s="252"/>
      <c r="N71" s="252"/>
      <c r="O71" s="252">
        <f t="shared" si="34"/>
        <v>0</v>
      </c>
      <c r="P71" s="254">
        <f t="shared" si="29"/>
        <v>0</v>
      </c>
      <c r="Q71" s="255"/>
      <c r="R71" s="256"/>
      <c r="S71" s="278"/>
      <c r="T71" s="258"/>
      <c r="U71" s="275"/>
    </row>
    <row r="72" spans="1:21" outlineLevel="1" x14ac:dyDescent="0.3">
      <c r="B72" s="220" t="s">
        <v>173</v>
      </c>
      <c r="F72" s="260" t="s">
        <v>174</v>
      </c>
      <c r="G72" s="270">
        <v>1302</v>
      </c>
      <c r="H72" s="189"/>
      <c r="I72" s="185">
        <f>2+60</f>
        <v>62</v>
      </c>
      <c r="J72" s="185">
        <f>927-39</f>
        <v>888</v>
      </c>
      <c r="K72" s="30">
        <v>927</v>
      </c>
      <c r="L72" s="271">
        <f>+H72</f>
        <v>0</v>
      </c>
      <c r="M72" s="252">
        <f t="shared" ref="M72:N74" si="35">IF(I72=0,0,I72-H72)</f>
        <v>62</v>
      </c>
      <c r="N72" s="252">
        <f t="shared" si="35"/>
        <v>826</v>
      </c>
      <c r="O72" s="252">
        <f t="shared" si="34"/>
        <v>39</v>
      </c>
      <c r="P72" s="254">
        <f t="shared" si="29"/>
        <v>927</v>
      </c>
      <c r="Q72" s="255">
        <v>804</v>
      </c>
      <c r="R72" s="256">
        <f>P72-Q72</f>
        <v>123</v>
      </c>
      <c r="S72" s="278">
        <f>IF(Q72=0,"",P72/Q72)</f>
        <v>1.1529850746268657</v>
      </c>
      <c r="T72" s="258">
        <f>P72-G72</f>
        <v>-375</v>
      </c>
      <c r="U72" s="275">
        <f>IF(G72=0,"",P72/G72)</f>
        <v>0.71198156682027647</v>
      </c>
    </row>
    <row r="73" spans="1:21" outlineLevel="1" x14ac:dyDescent="0.3">
      <c r="F73" s="260"/>
      <c r="G73" s="270"/>
      <c r="H73" s="187"/>
      <c r="I73" s="185"/>
      <c r="J73" s="185"/>
      <c r="K73" s="22"/>
      <c r="L73" s="271">
        <f>+H73</f>
        <v>0</v>
      </c>
      <c r="M73" s="252">
        <f t="shared" si="35"/>
        <v>0</v>
      </c>
      <c r="N73" s="252">
        <f t="shared" si="35"/>
        <v>0</v>
      </c>
      <c r="O73" s="252">
        <f t="shared" si="34"/>
        <v>0</v>
      </c>
      <c r="P73" s="254">
        <f t="shared" si="29"/>
        <v>0</v>
      </c>
      <c r="Q73" s="255"/>
      <c r="R73" s="256">
        <f>P73-Q73</f>
        <v>0</v>
      </c>
      <c r="S73" s="278" t="str">
        <f>IF(Q73=0,"",P73/Q73)</f>
        <v/>
      </c>
      <c r="T73" s="258">
        <f>P73-G73</f>
        <v>0</v>
      </c>
      <c r="U73" s="275" t="str">
        <f>IF(G73=0,"",P73/G73)</f>
        <v/>
      </c>
    </row>
    <row r="74" spans="1:21" outlineLevel="1" x14ac:dyDescent="0.3">
      <c r="F74" s="260"/>
      <c r="G74" s="270"/>
      <c r="H74" s="187"/>
      <c r="I74" s="185"/>
      <c r="J74" s="185"/>
      <c r="K74" s="22"/>
      <c r="L74" s="271">
        <f>+H74</f>
        <v>0</v>
      </c>
      <c r="M74" s="252">
        <f t="shared" si="35"/>
        <v>0</v>
      </c>
      <c r="N74" s="252">
        <f t="shared" si="35"/>
        <v>0</v>
      </c>
      <c r="O74" s="252">
        <f t="shared" si="34"/>
        <v>0</v>
      </c>
      <c r="P74" s="254">
        <f t="shared" si="29"/>
        <v>0</v>
      </c>
      <c r="Q74" s="255"/>
      <c r="R74" s="256">
        <f>P74-Q74</f>
        <v>0</v>
      </c>
      <c r="S74" s="278" t="str">
        <f>IF(Q74=0,"",P74/Q74)</f>
        <v/>
      </c>
      <c r="T74" s="258">
        <f>P74-G74</f>
        <v>0</v>
      </c>
      <c r="U74" s="275" t="str">
        <f>IF(G74=0,"",P74/G74)</f>
        <v/>
      </c>
    </row>
    <row r="75" spans="1:21" outlineLevel="1" x14ac:dyDescent="0.3">
      <c r="F75" s="260"/>
      <c r="G75" s="270"/>
      <c r="H75" s="187"/>
      <c r="I75" s="185"/>
      <c r="J75" s="185"/>
      <c r="K75" s="22"/>
      <c r="L75" s="271"/>
      <c r="M75" s="252"/>
      <c r="N75" s="252"/>
      <c r="O75" s="252">
        <f t="shared" si="34"/>
        <v>0</v>
      </c>
      <c r="P75" s="254">
        <f t="shared" si="29"/>
        <v>0</v>
      </c>
      <c r="Q75" s="255"/>
      <c r="R75" s="256"/>
      <c r="S75" s="278" t="str">
        <f>IF(Q75=0,"",P75/Q75)</f>
        <v/>
      </c>
      <c r="T75" s="258"/>
      <c r="U75" s="275" t="str">
        <f>IF(G75=0,"",P75/G75)</f>
        <v/>
      </c>
    </row>
    <row r="76" spans="1:21" x14ac:dyDescent="0.3">
      <c r="A76" s="222" t="s">
        <v>47</v>
      </c>
      <c r="F76" s="260"/>
      <c r="G76" s="280">
        <f t="shared" ref="G76:R76" si="36">SUM(G48:G75)</f>
        <v>54324</v>
      </c>
      <c r="H76" s="188">
        <f>SUM(H48:H75)</f>
        <v>8059.9</v>
      </c>
      <c r="I76" s="188">
        <f>SUM(I48:I75)</f>
        <v>26136</v>
      </c>
      <c r="J76" s="188">
        <f>SUM(J48:J75)</f>
        <v>38630</v>
      </c>
      <c r="K76" s="348">
        <f>SUM(K48:K75)</f>
        <v>51989</v>
      </c>
      <c r="L76" s="282">
        <f t="shared" si="36"/>
        <v>8059.9</v>
      </c>
      <c r="M76" s="281">
        <f t="shared" si="36"/>
        <v>18076.099999999999</v>
      </c>
      <c r="N76" s="281">
        <f t="shared" si="36"/>
        <v>12494</v>
      </c>
      <c r="O76" s="281">
        <f t="shared" si="36"/>
        <v>13359</v>
      </c>
      <c r="P76" s="283">
        <f t="shared" si="36"/>
        <v>51989</v>
      </c>
      <c r="Q76" s="284">
        <f>SUM(Q48:Q75)</f>
        <v>53810</v>
      </c>
      <c r="R76" s="285">
        <f t="shared" si="36"/>
        <v>-1821.0000000000036</v>
      </c>
      <c r="S76" s="286">
        <f>IF(Q76=0,"",P76/Q76)</f>
        <v>0.96615870656011893</v>
      </c>
      <c r="T76" s="287">
        <f>SUM(T48:T75)</f>
        <v>-2335</v>
      </c>
      <c r="U76" s="290">
        <f>IF(G76=0,"",P76/G76)</f>
        <v>0.95701715632133122</v>
      </c>
    </row>
    <row r="77" spans="1:21" x14ac:dyDescent="0.3">
      <c r="F77" s="260"/>
      <c r="G77" s="270"/>
      <c r="H77" s="185"/>
      <c r="I77" s="185"/>
      <c r="J77" s="185"/>
      <c r="K77" s="22"/>
      <c r="L77" s="271"/>
      <c r="M77" s="252"/>
      <c r="N77" s="252"/>
      <c r="O77" s="252"/>
      <c r="P77" s="254"/>
      <c r="Q77" s="255"/>
      <c r="R77" s="256"/>
      <c r="S77" s="278"/>
      <c r="T77" s="258"/>
      <c r="U77" s="275"/>
    </row>
    <row r="78" spans="1:21" ht="14" thickBot="1" x14ac:dyDescent="0.35">
      <c r="A78" s="222" t="s">
        <v>176</v>
      </c>
      <c r="F78" s="260"/>
      <c r="G78" s="291">
        <f>G45-G76</f>
        <v>14290</v>
      </c>
      <c r="H78" s="190">
        <f>H45-H76</f>
        <v>-1217.8100000000004</v>
      </c>
      <c r="I78" s="190">
        <f>I45-I76</f>
        <v>7049</v>
      </c>
      <c r="J78" s="190">
        <f>J45-J76</f>
        <v>14636</v>
      </c>
      <c r="K78" s="349">
        <f>K45-K76</f>
        <v>20047</v>
      </c>
      <c r="L78" s="293">
        <f t="shared" ref="L78:R78" si="37">L45-L76</f>
        <v>-1217.8100000000004</v>
      </c>
      <c r="M78" s="292">
        <f t="shared" si="37"/>
        <v>8266.8100000000013</v>
      </c>
      <c r="N78" s="292">
        <f t="shared" si="37"/>
        <v>7587</v>
      </c>
      <c r="O78" s="292">
        <f t="shared" si="37"/>
        <v>5411</v>
      </c>
      <c r="P78" s="294">
        <f t="shared" si="37"/>
        <v>20047</v>
      </c>
      <c r="Q78" s="295">
        <f>Q45-Q76</f>
        <v>15090</v>
      </c>
      <c r="R78" s="296">
        <f t="shared" si="37"/>
        <v>4957.0000000000036</v>
      </c>
      <c r="S78" s="297">
        <f>IF(Q78=0,"",P78/Q78)</f>
        <v>1.3284956925115972</v>
      </c>
      <c r="T78" s="298">
        <f>T45-T76</f>
        <v>5757</v>
      </c>
      <c r="U78" s="299">
        <f>IF(G78=0,"",P78/G78)</f>
        <v>1.4028691392582224</v>
      </c>
    </row>
    <row r="79" spans="1:21" x14ac:dyDescent="0.3">
      <c r="F79" s="300"/>
      <c r="G79" s="270"/>
      <c r="H79" s="185"/>
      <c r="I79" s="185"/>
      <c r="J79" s="185"/>
      <c r="K79" s="22"/>
      <c r="L79" s="271"/>
      <c r="M79" s="252"/>
      <c r="N79" s="252"/>
      <c r="O79" s="252"/>
      <c r="P79" s="254"/>
      <c r="Q79" s="255"/>
      <c r="R79" s="256"/>
      <c r="S79" s="257"/>
      <c r="T79" s="258"/>
      <c r="U79" s="259"/>
    </row>
    <row r="80" spans="1:21" x14ac:dyDescent="0.3">
      <c r="A80" s="222" t="s">
        <v>177</v>
      </c>
      <c r="F80" s="300"/>
      <c r="G80" s="261">
        <f t="shared" ref="G80:P80" si="38">SUM(G81:G84)</f>
        <v>0</v>
      </c>
      <c r="H80" s="186">
        <f>SUM(H81:H84)</f>
        <v>0</v>
      </c>
      <c r="I80" s="186">
        <f>SUM(I81:I84)</f>
        <v>0</v>
      </c>
      <c r="J80" s="186">
        <f>SUM(J81:J84)</f>
        <v>0</v>
      </c>
      <c r="K80" s="347">
        <f>SUM(K81:K84)</f>
        <v>0</v>
      </c>
      <c r="L80" s="263">
        <f t="shared" si="38"/>
        <v>0</v>
      </c>
      <c r="M80" s="262">
        <f t="shared" si="38"/>
        <v>0</v>
      </c>
      <c r="N80" s="262">
        <f t="shared" si="38"/>
        <v>0</v>
      </c>
      <c r="O80" s="262">
        <f t="shared" si="38"/>
        <v>0</v>
      </c>
      <c r="P80" s="264">
        <f t="shared" si="38"/>
        <v>0</v>
      </c>
      <c r="Q80" s="265">
        <f>SUM(Q81:Q84)</f>
        <v>0</v>
      </c>
      <c r="R80" s="266">
        <f>SUM(R82:R85)</f>
        <v>0</v>
      </c>
      <c r="S80" s="276" t="str">
        <f t="shared" ref="S80:S86" si="39">IF(Q80=0,"",P80/Q80)</f>
        <v/>
      </c>
      <c r="T80" s="268">
        <f>SUM(T82:T85)</f>
        <v>0</v>
      </c>
      <c r="U80" s="332" t="str">
        <f t="shared" ref="U80:U86" si="40">IF(G80=0,"",P80/G80)</f>
        <v/>
      </c>
    </row>
    <row r="81" spans="1:21" outlineLevel="1" x14ac:dyDescent="0.3">
      <c r="B81" s="220" t="s">
        <v>178</v>
      </c>
      <c r="F81" s="300"/>
      <c r="G81" s="270"/>
      <c r="H81" s="185"/>
      <c r="I81" s="185"/>
      <c r="J81" s="185"/>
      <c r="K81" s="22"/>
      <c r="L81" s="271"/>
      <c r="M81" s="252"/>
      <c r="N81" s="252"/>
      <c r="O81" s="252"/>
      <c r="P81" s="254"/>
      <c r="Q81" s="255"/>
      <c r="R81" s="256"/>
      <c r="S81" s="278" t="str">
        <f t="shared" si="39"/>
        <v/>
      </c>
      <c r="T81" s="258"/>
      <c r="U81" s="275" t="str">
        <f t="shared" si="40"/>
        <v/>
      </c>
    </row>
    <row r="82" spans="1:21" outlineLevel="1" x14ac:dyDescent="0.3">
      <c r="C82" s="220" t="s">
        <v>179</v>
      </c>
      <c r="F82" s="300"/>
      <c r="G82" s="270"/>
      <c r="H82" s="185"/>
      <c r="I82" s="185"/>
      <c r="J82" s="185"/>
      <c r="K82" s="22"/>
      <c r="L82" s="271">
        <f>+H82</f>
        <v>0</v>
      </c>
      <c r="M82" s="252">
        <f>IF(I82=0,0,I82-H82)</f>
        <v>0</v>
      </c>
      <c r="N82" s="252">
        <f t="shared" ref="N82:O84" si="41">IF(J82=0,0,J82-I82)</f>
        <v>0</v>
      </c>
      <c r="O82" s="252">
        <f t="shared" si="41"/>
        <v>0</v>
      </c>
      <c r="P82" s="254">
        <f>SUM(L82:O82)</f>
        <v>0</v>
      </c>
      <c r="Q82" s="255"/>
      <c r="R82" s="256">
        <f>P82-Q82</f>
        <v>0</v>
      </c>
      <c r="S82" s="278" t="str">
        <f t="shared" si="39"/>
        <v/>
      </c>
      <c r="T82" s="258">
        <f>P82-G82</f>
        <v>0</v>
      </c>
      <c r="U82" s="275" t="str">
        <f t="shared" si="40"/>
        <v/>
      </c>
    </row>
    <row r="83" spans="1:21" outlineLevel="1" x14ac:dyDescent="0.3">
      <c r="B83" s="220" t="s">
        <v>180</v>
      </c>
      <c r="F83" s="300">
        <v>5310</v>
      </c>
      <c r="G83" s="270"/>
      <c r="H83" s="185"/>
      <c r="I83" s="185"/>
      <c r="J83" s="185"/>
      <c r="K83" s="22"/>
      <c r="L83" s="271">
        <f>+H83</f>
        <v>0</v>
      </c>
      <c r="M83" s="252">
        <f>IF(I83=0,0,I83-H83)</f>
        <v>0</v>
      </c>
      <c r="N83" s="252">
        <f t="shared" si="41"/>
        <v>0</v>
      </c>
      <c r="O83" s="252">
        <f t="shared" si="41"/>
        <v>0</v>
      </c>
      <c r="P83" s="254">
        <f>SUM(L83:O83)</f>
        <v>0</v>
      </c>
      <c r="Q83" s="255"/>
      <c r="R83" s="256">
        <f>P83-Q83</f>
        <v>0</v>
      </c>
      <c r="S83" s="278" t="str">
        <f t="shared" si="39"/>
        <v/>
      </c>
      <c r="T83" s="258">
        <f>P83-G83</f>
        <v>0</v>
      </c>
      <c r="U83" s="275" t="str">
        <f t="shared" si="40"/>
        <v/>
      </c>
    </row>
    <row r="84" spans="1:21" outlineLevel="1" x14ac:dyDescent="0.3">
      <c r="F84" s="300"/>
      <c r="G84" s="270"/>
      <c r="H84" s="185"/>
      <c r="I84" s="185"/>
      <c r="J84" s="185"/>
      <c r="K84" s="22"/>
      <c r="L84" s="271">
        <f>+H84</f>
        <v>0</v>
      </c>
      <c r="M84" s="252">
        <f>IF(I84=0,0,I84-H84)</f>
        <v>0</v>
      </c>
      <c r="N84" s="252">
        <f t="shared" si="41"/>
        <v>0</v>
      </c>
      <c r="O84" s="252">
        <f t="shared" si="41"/>
        <v>0</v>
      </c>
      <c r="P84" s="254">
        <f>SUM(L84:O84)</f>
        <v>0</v>
      </c>
      <c r="Q84" s="255"/>
      <c r="R84" s="256">
        <f>P84-Q84</f>
        <v>0</v>
      </c>
      <c r="S84" s="278" t="str">
        <f t="shared" si="39"/>
        <v/>
      </c>
      <c r="T84" s="258">
        <f>P84-G84</f>
        <v>0</v>
      </c>
      <c r="U84" s="275" t="str">
        <f t="shared" si="40"/>
        <v/>
      </c>
    </row>
    <row r="85" spans="1:21" x14ac:dyDescent="0.3">
      <c r="F85" s="300"/>
      <c r="G85" s="270"/>
      <c r="H85" s="185"/>
      <c r="I85" s="185"/>
      <c r="J85" s="185"/>
      <c r="K85" s="22"/>
      <c r="L85" s="271"/>
      <c r="M85" s="252"/>
      <c r="N85" s="252"/>
      <c r="O85" s="252"/>
      <c r="P85" s="254"/>
      <c r="Q85" s="255"/>
      <c r="R85" s="256"/>
      <c r="S85" s="278" t="str">
        <f t="shared" si="39"/>
        <v/>
      </c>
      <c r="T85" s="258"/>
      <c r="U85" s="275" t="str">
        <f t="shared" si="40"/>
        <v/>
      </c>
    </row>
    <row r="86" spans="1:21" x14ac:dyDescent="0.3">
      <c r="A86" s="222" t="s">
        <v>181</v>
      </c>
      <c r="F86" s="300"/>
      <c r="G86" s="261"/>
      <c r="H86" s="186"/>
      <c r="I86" s="186"/>
      <c r="J86" s="186"/>
      <c r="K86" s="347"/>
      <c r="L86" s="263"/>
      <c r="M86" s="262"/>
      <c r="N86" s="262"/>
      <c r="O86" s="262"/>
      <c r="P86" s="264">
        <f>SUM(L86:O86)</f>
        <v>0</v>
      </c>
      <c r="Q86" s="265"/>
      <c r="R86" s="266">
        <f>P86-Q86</f>
        <v>0</v>
      </c>
      <c r="S86" s="276" t="str">
        <f t="shared" si="39"/>
        <v/>
      </c>
      <c r="T86" s="268">
        <f>P86-G86</f>
        <v>0</v>
      </c>
      <c r="U86" s="332" t="str">
        <f t="shared" si="40"/>
        <v/>
      </c>
    </row>
    <row r="87" spans="1:21" x14ac:dyDescent="0.3">
      <c r="F87" s="300"/>
      <c r="G87" s="270"/>
      <c r="H87" s="185"/>
      <c r="I87" s="185"/>
      <c r="J87" s="185"/>
      <c r="K87" s="22"/>
      <c r="L87" s="271"/>
      <c r="M87" s="252"/>
      <c r="N87" s="252"/>
      <c r="O87" s="252"/>
      <c r="P87" s="254"/>
      <c r="Q87" s="255"/>
      <c r="R87" s="256"/>
      <c r="S87" s="278"/>
      <c r="T87" s="258"/>
      <c r="U87" s="275"/>
    </row>
    <row r="88" spans="1:21" ht="14" outlineLevel="1" thickBot="1" x14ac:dyDescent="0.35">
      <c r="A88" s="222" t="s">
        <v>182</v>
      </c>
      <c r="F88" s="300"/>
      <c r="G88" s="301">
        <f t="shared" ref="G88:Q88" si="42">G78+G80-G86</f>
        <v>14290</v>
      </c>
      <c r="H88" s="191">
        <f t="shared" si="42"/>
        <v>-1217.8100000000004</v>
      </c>
      <c r="I88" s="191">
        <f t="shared" si="42"/>
        <v>7049</v>
      </c>
      <c r="J88" s="191">
        <f t="shared" si="42"/>
        <v>14636</v>
      </c>
      <c r="K88" s="350">
        <f t="shared" si="42"/>
        <v>20047</v>
      </c>
      <c r="L88" s="301">
        <f t="shared" si="42"/>
        <v>-1217.8100000000004</v>
      </c>
      <c r="M88" s="302">
        <f t="shared" si="42"/>
        <v>8266.8100000000013</v>
      </c>
      <c r="N88" s="302">
        <f t="shared" si="42"/>
        <v>7587</v>
      </c>
      <c r="O88" s="302">
        <f t="shared" si="42"/>
        <v>5411</v>
      </c>
      <c r="P88" s="294">
        <f t="shared" si="42"/>
        <v>20047</v>
      </c>
      <c r="Q88" s="303">
        <f t="shared" si="42"/>
        <v>15090</v>
      </c>
      <c r="R88" s="303">
        <f>R78+-R86</f>
        <v>4957.0000000000036</v>
      </c>
      <c r="S88" s="304">
        <f>IF(Q88=0,"",P88/Q88)</f>
        <v>1.3284956925115972</v>
      </c>
      <c r="T88" s="303">
        <f>T78+-T86</f>
        <v>5757</v>
      </c>
      <c r="U88" s="305">
        <f>IF(G88=0,"",P88/G88)</f>
        <v>1.4028691392582224</v>
      </c>
    </row>
    <row r="89" spans="1:21" outlineLevel="1" x14ac:dyDescent="0.3">
      <c r="A89" s="222"/>
      <c r="F89" s="300"/>
      <c r="G89" s="306"/>
      <c r="H89" s="185"/>
      <c r="I89" s="185"/>
      <c r="J89" s="185"/>
      <c r="K89" s="22"/>
      <c r="L89" s="307"/>
      <c r="M89" s="308"/>
      <c r="N89" s="308"/>
      <c r="O89" s="252"/>
      <c r="P89" s="309"/>
      <c r="Q89" s="255"/>
      <c r="R89" s="256"/>
      <c r="S89" s="257"/>
      <c r="T89" s="258"/>
      <c r="U89" s="275"/>
    </row>
    <row r="90" spans="1:21" outlineLevel="1" x14ac:dyDescent="0.3">
      <c r="A90" s="222" t="s">
        <v>183</v>
      </c>
      <c r="F90" s="300"/>
      <c r="G90" s="306"/>
      <c r="H90" s="185"/>
      <c r="I90" s="185"/>
      <c r="J90" s="185"/>
      <c r="K90" s="22"/>
      <c r="L90" s="307"/>
      <c r="M90" s="308"/>
      <c r="N90" s="308"/>
      <c r="O90" s="252"/>
      <c r="P90" s="309"/>
      <c r="Q90" s="255"/>
      <c r="R90" s="256"/>
      <c r="S90" s="257"/>
      <c r="T90" s="258"/>
      <c r="U90" s="275"/>
    </row>
    <row r="91" spans="1:21" outlineLevel="1" x14ac:dyDescent="0.3">
      <c r="A91" s="222"/>
      <c r="B91" s="220" t="s">
        <v>184</v>
      </c>
      <c r="E91" s="220" t="s">
        <v>418</v>
      </c>
      <c r="F91" s="300"/>
      <c r="G91" s="306">
        <v>44407.06</v>
      </c>
      <c r="H91" s="185">
        <f>H132</f>
        <v>0</v>
      </c>
      <c r="I91" s="185">
        <f>I132</f>
        <v>8676</v>
      </c>
      <c r="J91" s="185">
        <f>J132</f>
        <v>8676</v>
      </c>
      <c r="K91" s="22">
        <f>K132</f>
        <v>8676</v>
      </c>
      <c r="L91" s="307">
        <f>L132</f>
        <v>0</v>
      </c>
      <c r="M91" s="308">
        <f>IF(I91=0,0,I91-H91)</f>
        <v>8676</v>
      </c>
      <c r="N91" s="308">
        <f>N132</f>
        <v>0</v>
      </c>
      <c r="O91" s="252">
        <f>O132</f>
        <v>0</v>
      </c>
      <c r="P91" s="254">
        <f>SUM(L91:O91)</f>
        <v>8676</v>
      </c>
      <c r="Q91" s="255">
        <v>19700</v>
      </c>
      <c r="R91" s="256">
        <f>P91-Q91</f>
        <v>-11024</v>
      </c>
      <c r="S91" s="278">
        <f>IF(Q91=0,"",P91/Q91)</f>
        <v>0.44040609137055836</v>
      </c>
      <c r="T91" s="258">
        <f>P91-G91</f>
        <v>-35731.06</v>
      </c>
      <c r="U91" s="275">
        <f>IF(G91=0,"",P91/G91)</f>
        <v>0.19537433912535529</v>
      </c>
    </row>
    <row r="92" spans="1:21" outlineLevel="1" x14ac:dyDescent="0.3">
      <c r="A92" s="222"/>
      <c r="B92" s="220" t="s">
        <v>266</v>
      </c>
      <c r="F92" s="300"/>
      <c r="G92" s="306"/>
      <c r="H92" s="185"/>
      <c r="I92" s="185"/>
      <c r="J92" s="185"/>
      <c r="K92" s="22"/>
      <c r="L92" s="307"/>
      <c r="M92" s="308">
        <f>IF(I92=0,0,I92-H92)</f>
        <v>0</v>
      </c>
      <c r="N92" s="308"/>
      <c r="O92" s="252"/>
      <c r="P92" s="254">
        <f>SUM(L92:O92)</f>
        <v>0</v>
      </c>
      <c r="Q92" s="255"/>
      <c r="R92" s="256">
        <f>P92-Q92</f>
        <v>0</v>
      </c>
      <c r="S92" s="278" t="str">
        <f>IF(Q92=0,"",P92/Q92)</f>
        <v/>
      </c>
      <c r="T92" s="258">
        <f>P92-G92</f>
        <v>0</v>
      </c>
      <c r="U92" s="275" t="str">
        <f>IF(G92=0,"",P92/G92)</f>
        <v/>
      </c>
    </row>
    <row r="93" spans="1:21" outlineLevel="1" x14ac:dyDescent="0.3">
      <c r="A93" s="222"/>
      <c r="F93" s="300"/>
      <c r="G93" s="306"/>
      <c r="H93" s="185"/>
      <c r="I93" s="185"/>
      <c r="J93" s="185"/>
      <c r="K93" s="22"/>
      <c r="L93" s="307"/>
      <c r="M93" s="308"/>
      <c r="N93" s="308"/>
      <c r="O93" s="252"/>
      <c r="P93" s="309"/>
      <c r="Q93" s="255"/>
      <c r="R93" s="256"/>
      <c r="S93" s="278"/>
      <c r="T93" s="258"/>
      <c r="U93" s="275"/>
    </row>
    <row r="94" spans="1:21" outlineLevel="1" x14ac:dyDescent="0.3">
      <c r="A94" s="222"/>
      <c r="B94" s="222" t="s">
        <v>185</v>
      </c>
      <c r="F94" s="300"/>
      <c r="G94" s="261">
        <f t="shared" ref="G94:O94" si="43">+G91+G92</f>
        <v>44407.06</v>
      </c>
      <c r="H94" s="186">
        <f>+H91+H92</f>
        <v>0</v>
      </c>
      <c r="I94" s="186">
        <f>+I91+I92</f>
        <v>8676</v>
      </c>
      <c r="J94" s="186">
        <f>+J91+J92</f>
        <v>8676</v>
      </c>
      <c r="K94" s="347">
        <f>+K91+K92</f>
        <v>8676</v>
      </c>
      <c r="L94" s="263">
        <f t="shared" si="43"/>
        <v>0</v>
      </c>
      <c r="M94" s="262">
        <f t="shared" si="43"/>
        <v>8676</v>
      </c>
      <c r="N94" s="262">
        <f t="shared" si="43"/>
        <v>0</v>
      </c>
      <c r="O94" s="262">
        <f t="shared" si="43"/>
        <v>0</v>
      </c>
      <c r="P94" s="264">
        <f>SUM(L94:O94)</f>
        <v>8676</v>
      </c>
      <c r="Q94" s="265">
        <f>+Q91+Q92</f>
        <v>19700</v>
      </c>
      <c r="R94" s="266">
        <f>R91+R92</f>
        <v>-11024</v>
      </c>
      <c r="S94" s="276">
        <f>IF(Q94=0,"",P94/Q94)</f>
        <v>0.44040609137055836</v>
      </c>
      <c r="T94" s="268">
        <f>T91+T92</f>
        <v>-35731.06</v>
      </c>
      <c r="U94" s="310">
        <f>IF(G94=0,"",P94/G94)</f>
        <v>0.19537433912535529</v>
      </c>
    </row>
    <row r="95" spans="1:21" outlineLevel="1" x14ac:dyDescent="0.3">
      <c r="A95" s="222"/>
      <c r="F95" s="300"/>
      <c r="G95" s="306"/>
      <c r="H95" s="185"/>
      <c r="I95" s="185"/>
      <c r="J95" s="185"/>
      <c r="K95" s="22"/>
      <c r="L95" s="307"/>
      <c r="M95" s="308"/>
      <c r="N95" s="308"/>
      <c r="O95" s="252"/>
      <c r="P95" s="309"/>
      <c r="Q95" s="255"/>
      <c r="R95" s="256"/>
      <c r="S95" s="278"/>
      <c r="T95" s="258"/>
      <c r="U95" s="311"/>
    </row>
    <row r="96" spans="1:21" ht="14" thickBot="1" x14ac:dyDescent="0.35">
      <c r="A96" s="222" t="s">
        <v>186</v>
      </c>
      <c r="F96" s="300"/>
      <c r="G96" s="312">
        <f t="shared" ref="G96:Q96" si="44">+G88-G94</f>
        <v>-30117.059999999998</v>
      </c>
      <c r="H96" s="192">
        <f t="shared" si="44"/>
        <v>-1217.8100000000004</v>
      </c>
      <c r="I96" s="192">
        <f t="shared" si="44"/>
        <v>-1627</v>
      </c>
      <c r="J96" s="192">
        <f t="shared" si="44"/>
        <v>5960</v>
      </c>
      <c r="K96" s="351">
        <f t="shared" si="44"/>
        <v>11371</v>
      </c>
      <c r="L96" s="312">
        <f t="shared" si="44"/>
        <v>-1217.8100000000004</v>
      </c>
      <c r="M96" s="313">
        <f t="shared" si="44"/>
        <v>-409.18999999999869</v>
      </c>
      <c r="N96" s="313">
        <f t="shared" si="44"/>
        <v>7587</v>
      </c>
      <c r="O96" s="313">
        <f t="shared" si="44"/>
        <v>5411</v>
      </c>
      <c r="P96" s="314">
        <f t="shared" si="44"/>
        <v>11371</v>
      </c>
      <c r="Q96" s="315">
        <f t="shared" si="44"/>
        <v>-4610</v>
      </c>
      <c r="R96" s="316">
        <f>R88-R94</f>
        <v>15981.000000000004</v>
      </c>
      <c r="S96" s="317">
        <f>IF(Q96=0,"",P96/Q96)</f>
        <v>-2.4665943600867677</v>
      </c>
      <c r="T96" s="318">
        <f>T88-T94</f>
        <v>41488.06</v>
      </c>
      <c r="U96" s="319">
        <f>IF(G96=0,"",P96/G96)</f>
        <v>-0.37756009384714184</v>
      </c>
    </row>
    <row r="97" spans="1:21" ht="14" thickTop="1" x14ac:dyDescent="0.3">
      <c r="F97" s="300"/>
      <c r="G97" s="270"/>
      <c r="H97" s="185"/>
      <c r="I97" s="185"/>
      <c r="J97" s="185"/>
      <c r="K97" s="22"/>
      <c r="L97" s="271"/>
      <c r="M97" s="252"/>
      <c r="N97" s="252"/>
      <c r="O97" s="252"/>
      <c r="P97" s="254"/>
      <c r="Q97" s="255"/>
      <c r="R97" s="256"/>
      <c r="S97" s="257"/>
      <c r="T97" s="258"/>
      <c r="U97" s="275"/>
    </row>
    <row r="98" spans="1:21" x14ac:dyDescent="0.3">
      <c r="A98" s="222" t="s">
        <v>340</v>
      </c>
      <c r="F98" s="300"/>
      <c r="G98" s="270"/>
      <c r="H98" s="185"/>
      <c r="I98" s="185"/>
      <c r="J98" s="185"/>
      <c r="K98" s="22"/>
      <c r="L98" s="271"/>
      <c r="M98" s="252"/>
      <c r="N98" s="252"/>
      <c r="O98" s="252"/>
      <c r="P98" s="254"/>
      <c r="Q98" s="255"/>
      <c r="R98" s="256"/>
      <c r="S98" s="257"/>
      <c r="T98" s="258"/>
      <c r="U98" s="275"/>
    </row>
    <row r="99" spans="1:21" x14ac:dyDescent="0.3">
      <c r="B99" s="220" t="s">
        <v>341</v>
      </c>
      <c r="F99" s="300"/>
      <c r="G99" s="270">
        <v>0</v>
      </c>
      <c r="H99" s="185"/>
      <c r="I99" s="185"/>
      <c r="J99" s="185"/>
      <c r="K99" s="22"/>
      <c r="L99" s="271">
        <f t="shared" ref="L99:L107" si="45">+H99</f>
        <v>0</v>
      </c>
      <c r="M99" s="252">
        <f t="shared" ref="M99:M107" si="46">IF(I99=0,0,I99-H99)</f>
        <v>0</v>
      </c>
      <c r="N99" s="252">
        <f t="shared" ref="N99:O107" si="47">IF(J99=0,0,J99-I99)</f>
        <v>0</v>
      </c>
      <c r="O99" s="252">
        <f t="shared" si="47"/>
        <v>0</v>
      </c>
      <c r="P99" s="254">
        <f t="shared" ref="P99:P107" si="48">SUM(L99:O99)</f>
        <v>0</v>
      </c>
      <c r="Q99" s="255"/>
      <c r="R99" s="256">
        <f t="shared" ref="R99:R107" si="49">P99-Q99</f>
        <v>0</v>
      </c>
      <c r="S99" s="278" t="str">
        <f t="shared" ref="S99:S107" si="50">IF(Q99=0,"",P99/Q99)</f>
        <v/>
      </c>
      <c r="T99" s="258">
        <f t="shared" ref="T99:T107" si="51">P99-G99</f>
        <v>0</v>
      </c>
      <c r="U99" s="275" t="str">
        <f t="shared" ref="U99:U107" si="52">IF(G99=0,"",P99/G99)</f>
        <v/>
      </c>
    </row>
    <row r="100" spans="1:21" x14ac:dyDescent="0.3">
      <c r="B100" s="220" t="s">
        <v>342</v>
      </c>
      <c r="F100" s="300">
        <v>5491</v>
      </c>
      <c r="G100" s="270">
        <v>9141</v>
      </c>
      <c r="H100" s="185"/>
      <c r="I100" s="185"/>
      <c r="J100" s="185">
        <v>9305</v>
      </c>
      <c r="K100" s="22">
        <v>9305</v>
      </c>
      <c r="L100" s="271">
        <f t="shared" si="45"/>
        <v>0</v>
      </c>
      <c r="M100" s="252">
        <f t="shared" si="46"/>
        <v>0</v>
      </c>
      <c r="N100" s="252">
        <f t="shared" si="47"/>
        <v>9305</v>
      </c>
      <c r="O100" s="252">
        <f t="shared" si="47"/>
        <v>0</v>
      </c>
      <c r="P100" s="254">
        <f t="shared" si="48"/>
        <v>9305</v>
      </c>
      <c r="Q100" s="255">
        <v>9200</v>
      </c>
      <c r="R100" s="256">
        <f t="shared" si="49"/>
        <v>105</v>
      </c>
      <c r="S100" s="278">
        <f t="shared" si="50"/>
        <v>1.0114130434782609</v>
      </c>
      <c r="T100" s="258">
        <f t="shared" si="51"/>
        <v>164</v>
      </c>
      <c r="U100" s="275">
        <f t="shared" si="52"/>
        <v>1.0179411442949349</v>
      </c>
    </row>
    <row r="101" spans="1:21" x14ac:dyDescent="0.3">
      <c r="B101" s="220" t="s">
        <v>343</v>
      </c>
      <c r="F101" s="300"/>
      <c r="G101" s="270">
        <v>0</v>
      </c>
      <c r="H101" s="185"/>
      <c r="I101" s="185"/>
      <c r="J101" s="185"/>
      <c r="K101" s="22"/>
      <c r="L101" s="271">
        <f t="shared" si="45"/>
        <v>0</v>
      </c>
      <c r="M101" s="252">
        <f t="shared" si="46"/>
        <v>0</v>
      </c>
      <c r="N101" s="252">
        <f t="shared" si="47"/>
        <v>0</v>
      </c>
      <c r="O101" s="252">
        <f t="shared" si="47"/>
        <v>0</v>
      </c>
      <c r="P101" s="254">
        <f t="shared" si="48"/>
        <v>0</v>
      </c>
      <c r="Q101" s="255"/>
      <c r="R101" s="256">
        <f t="shared" si="49"/>
        <v>0</v>
      </c>
      <c r="S101" s="278" t="str">
        <f t="shared" si="50"/>
        <v/>
      </c>
      <c r="T101" s="258">
        <f t="shared" si="51"/>
        <v>0</v>
      </c>
      <c r="U101" s="275" t="str">
        <f t="shared" si="52"/>
        <v/>
      </c>
    </row>
    <row r="102" spans="1:21" x14ac:dyDescent="0.3">
      <c r="B102" s="220" t="s">
        <v>344</v>
      </c>
      <c r="F102" s="300"/>
      <c r="G102" s="270">
        <v>0</v>
      </c>
      <c r="H102" s="185"/>
      <c r="I102" s="185"/>
      <c r="J102" s="185"/>
      <c r="K102" s="22"/>
      <c r="L102" s="271">
        <f t="shared" si="45"/>
        <v>0</v>
      </c>
      <c r="M102" s="252">
        <f t="shared" si="46"/>
        <v>0</v>
      </c>
      <c r="N102" s="252">
        <f t="shared" si="47"/>
        <v>0</v>
      </c>
      <c r="O102" s="252">
        <f t="shared" si="47"/>
        <v>0</v>
      </c>
      <c r="P102" s="254">
        <f t="shared" si="48"/>
        <v>0</v>
      </c>
      <c r="Q102" s="255"/>
      <c r="R102" s="256">
        <f t="shared" si="49"/>
        <v>0</v>
      </c>
      <c r="S102" s="278" t="str">
        <f t="shared" si="50"/>
        <v/>
      </c>
      <c r="T102" s="258">
        <f t="shared" si="51"/>
        <v>0</v>
      </c>
      <c r="U102" s="275" t="str">
        <f t="shared" si="52"/>
        <v/>
      </c>
    </row>
    <row r="103" spans="1:21" x14ac:dyDescent="0.3">
      <c r="B103" s="220" t="s">
        <v>345</v>
      </c>
      <c r="F103" s="300"/>
      <c r="G103" s="270">
        <v>0</v>
      </c>
      <c r="H103" s="185"/>
      <c r="I103" s="185"/>
      <c r="J103" s="185"/>
      <c r="K103" s="22"/>
      <c r="L103" s="271">
        <f t="shared" si="45"/>
        <v>0</v>
      </c>
      <c r="M103" s="252">
        <f t="shared" si="46"/>
        <v>0</v>
      </c>
      <c r="N103" s="252">
        <f t="shared" si="47"/>
        <v>0</v>
      </c>
      <c r="O103" s="252">
        <f t="shared" si="47"/>
        <v>0</v>
      </c>
      <c r="P103" s="254">
        <f t="shared" si="48"/>
        <v>0</v>
      </c>
      <c r="Q103" s="255"/>
      <c r="R103" s="256">
        <f t="shared" si="49"/>
        <v>0</v>
      </c>
      <c r="S103" s="278" t="str">
        <f t="shared" si="50"/>
        <v/>
      </c>
      <c r="T103" s="258">
        <f t="shared" si="51"/>
        <v>0</v>
      </c>
      <c r="U103" s="275" t="str">
        <f t="shared" si="52"/>
        <v/>
      </c>
    </row>
    <row r="104" spans="1:21" x14ac:dyDescent="0.3">
      <c r="B104" s="220" t="s">
        <v>346</v>
      </c>
      <c r="F104" s="300"/>
      <c r="G104" s="270">
        <v>0</v>
      </c>
      <c r="H104" s="185"/>
      <c r="I104" s="185"/>
      <c r="J104" s="185"/>
      <c r="K104" s="22"/>
      <c r="L104" s="271">
        <f t="shared" si="45"/>
        <v>0</v>
      </c>
      <c r="M104" s="252">
        <f t="shared" si="46"/>
        <v>0</v>
      </c>
      <c r="N104" s="252">
        <f t="shared" si="47"/>
        <v>0</v>
      </c>
      <c r="O104" s="252">
        <f t="shared" si="47"/>
        <v>0</v>
      </c>
      <c r="P104" s="254">
        <f t="shared" si="48"/>
        <v>0</v>
      </c>
      <c r="Q104" s="255"/>
      <c r="R104" s="256">
        <f t="shared" si="49"/>
        <v>0</v>
      </c>
      <c r="S104" s="278" t="str">
        <f t="shared" si="50"/>
        <v/>
      </c>
      <c r="T104" s="258">
        <f t="shared" si="51"/>
        <v>0</v>
      </c>
      <c r="U104" s="275" t="str">
        <f t="shared" si="52"/>
        <v/>
      </c>
    </row>
    <row r="105" spans="1:21" x14ac:dyDescent="0.3">
      <c r="B105" s="220" t="s">
        <v>347</v>
      </c>
      <c r="F105" s="300"/>
      <c r="G105" s="270">
        <v>0</v>
      </c>
      <c r="H105" s="185"/>
      <c r="I105" s="185"/>
      <c r="J105" s="185"/>
      <c r="K105" s="22"/>
      <c r="L105" s="271">
        <f t="shared" si="45"/>
        <v>0</v>
      </c>
      <c r="M105" s="252">
        <f t="shared" si="46"/>
        <v>0</v>
      </c>
      <c r="N105" s="252">
        <f t="shared" si="47"/>
        <v>0</v>
      </c>
      <c r="O105" s="252">
        <f t="shared" si="47"/>
        <v>0</v>
      </c>
      <c r="P105" s="254">
        <f t="shared" si="48"/>
        <v>0</v>
      </c>
      <c r="Q105" s="255"/>
      <c r="R105" s="256">
        <f t="shared" si="49"/>
        <v>0</v>
      </c>
      <c r="S105" s="278" t="str">
        <f t="shared" si="50"/>
        <v/>
      </c>
      <c r="T105" s="258">
        <f t="shared" si="51"/>
        <v>0</v>
      </c>
      <c r="U105" s="275" t="str">
        <f t="shared" si="52"/>
        <v/>
      </c>
    </row>
    <row r="106" spans="1:21" x14ac:dyDescent="0.3">
      <c r="B106" s="220" t="s">
        <v>348</v>
      </c>
      <c r="F106" s="300"/>
      <c r="G106" s="270">
        <v>0</v>
      </c>
      <c r="H106" s="185"/>
      <c r="I106" s="185"/>
      <c r="J106" s="185"/>
      <c r="K106" s="22"/>
      <c r="L106" s="271">
        <f t="shared" si="45"/>
        <v>0</v>
      </c>
      <c r="M106" s="252">
        <f t="shared" si="46"/>
        <v>0</v>
      </c>
      <c r="N106" s="252">
        <f t="shared" si="47"/>
        <v>0</v>
      </c>
      <c r="O106" s="252">
        <f t="shared" si="47"/>
        <v>0</v>
      </c>
      <c r="P106" s="254">
        <f t="shared" si="48"/>
        <v>0</v>
      </c>
      <c r="Q106" s="255"/>
      <c r="R106" s="256">
        <f t="shared" si="49"/>
        <v>0</v>
      </c>
      <c r="S106" s="278" t="str">
        <f t="shared" si="50"/>
        <v/>
      </c>
      <c r="T106" s="258">
        <f t="shared" si="51"/>
        <v>0</v>
      </c>
      <c r="U106" s="275" t="str">
        <f t="shared" si="52"/>
        <v/>
      </c>
    </row>
    <row r="107" spans="1:21" x14ac:dyDescent="0.3">
      <c r="B107" s="220" t="s">
        <v>349</v>
      </c>
      <c r="F107" s="300"/>
      <c r="G107" s="270">
        <v>0</v>
      </c>
      <c r="H107" s="185"/>
      <c r="I107" s="185"/>
      <c r="J107" s="185"/>
      <c r="K107" s="22"/>
      <c r="L107" s="271">
        <f t="shared" si="45"/>
        <v>0</v>
      </c>
      <c r="M107" s="252">
        <f t="shared" si="46"/>
        <v>0</v>
      </c>
      <c r="N107" s="252">
        <f t="shared" si="47"/>
        <v>0</v>
      </c>
      <c r="O107" s="252">
        <f t="shared" si="47"/>
        <v>0</v>
      </c>
      <c r="P107" s="254">
        <f t="shared" si="48"/>
        <v>0</v>
      </c>
      <c r="Q107" s="255"/>
      <c r="R107" s="256">
        <f t="shared" si="49"/>
        <v>0</v>
      </c>
      <c r="S107" s="278" t="str">
        <f t="shared" si="50"/>
        <v/>
      </c>
      <c r="T107" s="258">
        <f t="shared" si="51"/>
        <v>0</v>
      </c>
      <c r="U107" s="275" t="str">
        <f t="shared" si="52"/>
        <v/>
      </c>
    </row>
    <row r="108" spans="1:21" x14ac:dyDescent="0.3">
      <c r="F108" s="300"/>
      <c r="G108" s="270"/>
      <c r="H108" s="185"/>
      <c r="I108" s="185"/>
      <c r="J108" s="185"/>
      <c r="K108" s="22"/>
      <c r="L108" s="271"/>
      <c r="M108" s="252"/>
      <c r="N108" s="252"/>
      <c r="O108" s="252"/>
      <c r="P108" s="254"/>
      <c r="Q108" s="255"/>
      <c r="R108" s="256"/>
      <c r="S108" s="257"/>
      <c r="T108" s="258"/>
      <c r="U108" s="275"/>
    </row>
    <row r="109" spans="1:21" x14ac:dyDescent="0.3">
      <c r="B109" s="222" t="s">
        <v>350</v>
      </c>
      <c r="F109" s="300"/>
      <c r="G109" s="280">
        <f t="shared" ref="G109:R109" si="53">SUM(G99:G108)</f>
        <v>9141</v>
      </c>
      <c r="H109" s="188">
        <f>SUM(H99:H108)</f>
        <v>0</v>
      </c>
      <c r="I109" s="188">
        <f>SUM(I99:I108)</f>
        <v>0</v>
      </c>
      <c r="J109" s="188">
        <f>SUM(J99:J108)</f>
        <v>9305</v>
      </c>
      <c r="K109" s="348">
        <f>SUM(K99:K108)</f>
        <v>9305</v>
      </c>
      <c r="L109" s="282">
        <f t="shared" si="53"/>
        <v>0</v>
      </c>
      <c r="M109" s="281">
        <f t="shared" si="53"/>
        <v>0</v>
      </c>
      <c r="N109" s="281">
        <f t="shared" si="53"/>
        <v>9305</v>
      </c>
      <c r="O109" s="281">
        <f t="shared" si="53"/>
        <v>0</v>
      </c>
      <c r="P109" s="283">
        <f t="shared" si="53"/>
        <v>9305</v>
      </c>
      <c r="Q109" s="284">
        <f>SUM(Q99:Q108)</f>
        <v>9200</v>
      </c>
      <c r="R109" s="285">
        <f t="shared" si="53"/>
        <v>105</v>
      </c>
      <c r="S109" s="286">
        <f>IF(Q109=0,"",P109/Q109)</f>
        <v>1.0114130434782609</v>
      </c>
      <c r="T109" s="287">
        <f>SUM(T99:T108)</f>
        <v>164</v>
      </c>
      <c r="U109" s="288">
        <f>IF(G109=0,"",P109/G109)</f>
        <v>1.0179411442949349</v>
      </c>
    </row>
    <row r="110" spans="1:21" x14ac:dyDescent="0.3">
      <c r="F110" s="300"/>
      <c r="G110" s="270"/>
      <c r="H110" s="185"/>
      <c r="I110" s="185"/>
      <c r="J110" s="185"/>
      <c r="K110" s="22"/>
      <c r="L110" s="271"/>
      <c r="M110" s="252"/>
      <c r="N110" s="252"/>
      <c r="O110" s="252"/>
      <c r="P110" s="254"/>
      <c r="Q110" s="255"/>
      <c r="R110" s="256"/>
      <c r="S110" s="257"/>
      <c r="T110" s="258"/>
      <c r="U110" s="275"/>
    </row>
    <row r="111" spans="1:21" x14ac:dyDescent="0.3">
      <c r="F111" s="300"/>
      <c r="G111" s="270"/>
      <c r="H111" s="331"/>
      <c r="I111" s="185"/>
      <c r="J111" s="185"/>
      <c r="K111" s="22"/>
      <c r="L111" s="271"/>
      <c r="M111" s="252"/>
      <c r="N111" s="252"/>
      <c r="O111" s="252"/>
      <c r="P111" s="254"/>
      <c r="Q111" s="255"/>
      <c r="R111" s="256"/>
      <c r="S111" s="257"/>
      <c r="T111" s="258"/>
      <c r="U111" s="275"/>
    </row>
    <row r="112" spans="1:21" x14ac:dyDescent="0.3">
      <c r="F112" s="300"/>
      <c r="G112" s="270"/>
      <c r="H112" s="185"/>
      <c r="I112" s="185"/>
      <c r="J112" s="185"/>
      <c r="K112" s="22"/>
      <c r="L112" s="271"/>
      <c r="M112" s="252"/>
      <c r="N112" s="252"/>
      <c r="O112" s="252"/>
      <c r="P112" s="254"/>
      <c r="Q112" s="255"/>
      <c r="R112" s="256"/>
      <c r="S112" s="257"/>
      <c r="T112" s="258"/>
      <c r="U112" s="275"/>
    </row>
    <row r="113" spans="1:21" x14ac:dyDescent="0.3">
      <c r="A113" s="222" t="s">
        <v>351</v>
      </c>
      <c r="F113" s="300"/>
      <c r="G113" s="270"/>
      <c r="H113" s="185"/>
      <c r="I113" s="185"/>
      <c r="J113" s="185"/>
      <c r="K113" s="22"/>
      <c r="L113" s="271"/>
      <c r="M113" s="252"/>
      <c r="N113" s="252"/>
      <c r="O113" s="252"/>
      <c r="P113" s="254"/>
      <c r="Q113" s="255"/>
      <c r="R113" s="256"/>
      <c r="S113" s="257"/>
      <c r="T113" s="258"/>
      <c r="U113" s="275"/>
    </row>
    <row r="114" spans="1:21" outlineLevel="1" x14ac:dyDescent="0.3">
      <c r="A114" s="222"/>
      <c r="B114" s="222" t="s">
        <v>354</v>
      </c>
      <c r="F114" s="300"/>
      <c r="G114" s="270"/>
      <c r="H114" s="185"/>
      <c r="I114" s="185"/>
      <c r="J114" s="185"/>
      <c r="K114" s="22"/>
      <c r="L114" s="271"/>
      <c r="M114" s="252"/>
      <c r="N114" s="252"/>
      <c r="O114" s="252"/>
      <c r="P114" s="254"/>
      <c r="Q114" s="255"/>
      <c r="R114" s="256"/>
      <c r="S114" s="257"/>
      <c r="T114" s="258"/>
      <c r="U114" s="275"/>
    </row>
    <row r="115" spans="1:21" outlineLevel="1" x14ac:dyDescent="0.3">
      <c r="A115" s="222"/>
      <c r="C115" t="s">
        <v>442</v>
      </c>
      <c r="F115" s="300"/>
      <c r="G115" s="270">
        <v>0</v>
      </c>
      <c r="H115" s="185"/>
      <c r="I115" s="185"/>
      <c r="J115" s="185"/>
      <c r="K115" s="22"/>
      <c r="L115" s="271">
        <f t="shared" ref="L115:L130" si="54">+H115</f>
        <v>0</v>
      </c>
      <c r="M115" s="252">
        <f t="shared" ref="M115:M130" si="55">IF(I115=0,0,I115-H115)</f>
        <v>0</v>
      </c>
      <c r="N115" s="252">
        <f t="shared" ref="N115:O130" si="56">IF(J115=0,0,J115-I115)</f>
        <v>0</v>
      </c>
      <c r="O115" s="252">
        <f t="shared" si="56"/>
        <v>0</v>
      </c>
      <c r="P115" s="254">
        <f t="shared" ref="P115:P130" si="57">SUM(L115:O115)</f>
        <v>0</v>
      </c>
      <c r="Q115" s="255">
        <v>6400</v>
      </c>
      <c r="R115" s="256">
        <f t="shared" ref="R115:R130" si="58">P115-Q115</f>
        <v>-6400</v>
      </c>
      <c r="S115" s="278">
        <f t="shared" ref="S115:S130" si="59">IF(Q115=0,"",P115/Q115)</f>
        <v>0</v>
      </c>
      <c r="T115" s="258">
        <f t="shared" ref="T115:T130" si="60">P115-G115</f>
        <v>0</v>
      </c>
      <c r="U115" s="275" t="str">
        <f t="shared" ref="U115:U130" si="61">IF(G115=0,"",P115/G115)</f>
        <v/>
      </c>
    </row>
    <row r="116" spans="1:21" outlineLevel="1" x14ac:dyDescent="0.3">
      <c r="A116" s="222"/>
      <c r="C116" t="s">
        <v>443</v>
      </c>
      <c r="F116" s="300"/>
      <c r="G116" s="270">
        <v>0</v>
      </c>
      <c r="H116" s="185"/>
      <c r="I116" s="185">
        <v>8676</v>
      </c>
      <c r="J116" s="185">
        <v>8676</v>
      </c>
      <c r="K116" s="22">
        <v>8676</v>
      </c>
      <c r="L116" s="271">
        <f t="shared" si="54"/>
        <v>0</v>
      </c>
      <c r="M116" s="252">
        <f t="shared" si="55"/>
        <v>8676</v>
      </c>
      <c r="N116" s="252">
        <f t="shared" si="56"/>
        <v>0</v>
      </c>
      <c r="O116" s="252">
        <f t="shared" si="56"/>
        <v>0</v>
      </c>
      <c r="P116" s="254">
        <f t="shared" si="57"/>
        <v>8676</v>
      </c>
      <c r="Q116" s="255">
        <v>7500</v>
      </c>
      <c r="R116" s="256">
        <f t="shared" si="58"/>
        <v>1176</v>
      </c>
      <c r="S116" s="278">
        <f t="shared" si="59"/>
        <v>1.1568000000000001</v>
      </c>
      <c r="T116" s="258">
        <f t="shared" si="60"/>
        <v>8676</v>
      </c>
      <c r="U116" s="275" t="str">
        <f t="shared" si="61"/>
        <v/>
      </c>
    </row>
    <row r="117" spans="1:21" outlineLevel="1" x14ac:dyDescent="0.3">
      <c r="A117" s="222"/>
      <c r="C117" t="s">
        <v>444</v>
      </c>
      <c r="F117" s="300"/>
      <c r="G117" s="270">
        <v>0</v>
      </c>
      <c r="H117" s="185"/>
      <c r="I117" s="185"/>
      <c r="J117" s="185"/>
      <c r="K117" s="22"/>
      <c r="L117" s="271">
        <f t="shared" si="54"/>
        <v>0</v>
      </c>
      <c r="M117" s="252">
        <f t="shared" si="55"/>
        <v>0</v>
      </c>
      <c r="N117" s="252">
        <f t="shared" si="56"/>
        <v>0</v>
      </c>
      <c r="O117" s="252">
        <f t="shared" si="56"/>
        <v>0</v>
      </c>
      <c r="P117" s="254">
        <f t="shared" si="57"/>
        <v>0</v>
      </c>
      <c r="Q117" s="255">
        <v>5000</v>
      </c>
      <c r="R117" s="256">
        <f t="shared" si="58"/>
        <v>-5000</v>
      </c>
      <c r="S117" s="278">
        <f t="shared" si="59"/>
        <v>0</v>
      </c>
      <c r="T117" s="258">
        <f t="shared" si="60"/>
        <v>0</v>
      </c>
      <c r="U117" s="275" t="str">
        <f t="shared" si="61"/>
        <v/>
      </c>
    </row>
    <row r="118" spans="1:21" outlineLevel="1" x14ac:dyDescent="0.3">
      <c r="A118" s="222"/>
      <c r="C118" s="220" t="s">
        <v>282</v>
      </c>
      <c r="F118" s="300"/>
      <c r="G118" s="270">
        <v>0</v>
      </c>
      <c r="H118" s="185"/>
      <c r="I118" s="185"/>
      <c r="J118" s="185"/>
      <c r="K118" s="22"/>
      <c r="L118" s="271">
        <f t="shared" si="54"/>
        <v>0</v>
      </c>
      <c r="M118" s="252">
        <f t="shared" si="55"/>
        <v>0</v>
      </c>
      <c r="N118" s="252">
        <f t="shared" si="56"/>
        <v>0</v>
      </c>
      <c r="O118" s="252">
        <f t="shared" si="56"/>
        <v>0</v>
      </c>
      <c r="P118" s="254">
        <f t="shared" si="57"/>
        <v>0</v>
      </c>
      <c r="Q118" s="255"/>
      <c r="R118" s="256">
        <f t="shared" si="58"/>
        <v>0</v>
      </c>
      <c r="S118" s="278" t="str">
        <f t="shared" si="59"/>
        <v/>
      </c>
      <c r="T118" s="258">
        <f t="shared" si="60"/>
        <v>0</v>
      </c>
      <c r="U118" s="275" t="str">
        <f t="shared" si="61"/>
        <v/>
      </c>
    </row>
    <row r="119" spans="1:21" outlineLevel="1" x14ac:dyDescent="0.3">
      <c r="A119" s="222"/>
      <c r="C119" s="220" t="s">
        <v>283</v>
      </c>
      <c r="F119" s="300"/>
      <c r="G119" s="270">
        <v>0</v>
      </c>
      <c r="H119" s="185"/>
      <c r="I119" s="185"/>
      <c r="J119" s="185"/>
      <c r="K119" s="22"/>
      <c r="L119" s="271">
        <f t="shared" si="54"/>
        <v>0</v>
      </c>
      <c r="M119" s="252">
        <f t="shared" si="55"/>
        <v>0</v>
      </c>
      <c r="N119" s="252">
        <f t="shared" si="56"/>
        <v>0</v>
      </c>
      <c r="O119" s="252">
        <f t="shared" si="56"/>
        <v>0</v>
      </c>
      <c r="P119" s="254">
        <f t="shared" si="57"/>
        <v>0</v>
      </c>
      <c r="Q119" s="255"/>
      <c r="R119" s="256">
        <f t="shared" si="58"/>
        <v>0</v>
      </c>
      <c r="S119" s="278" t="str">
        <f t="shared" si="59"/>
        <v/>
      </c>
      <c r="T119" s="258">
        <f t="shared" si="60"/>
        <v>0</v>
      </c>
      <c r="U119" s="275" t="str">
        <f t="shared" si="61"/>
        <v/>
      </c>
    </row>
    <row r="120" spans="1:21" outlineLevel="1" x14ac:dyDescent="0.3">
      <c r="A120" s="222"/>
      <c r="C120" s="220" t="s">
        <v>284</v>
      </c>
      <c r="F120" s="300"/>
      <c r="G120" s="270">
        <v>0</v>
      </c>
      <c r="H120" s="185"/>
      <c r="I120" s="185"/>
      <c r="J120" s="185"/>
      <c r="K120" s="22"/>
      <c r="L120" s="271">
        <f t="shared" si="54"/>
        <v>0</v>
      </c>
      <c r="M120" s="252">
        <f t="shared" si="55"/>
        <v>0</v>
      </c>
      <c r="N120" s="252">
        <f t="shared" si="56"/>
        <v>0</v>
      </c>
      <c r="O120" s="252">
        <f t="shared" si="56"/>
        <v>0</v>
      </c>
      <c r="P120" s="254">
        <f t="shared" si="57"/>
        <v>0</v>
      </c>
      <c r="Q120" s="255"/>
      <c r="R120" s="256">
        <f t="shared" si="58"/>
        <v>0</v>
      </c>
      <c r="S120" s="278" t="str">
        <f t="shared" si="59"/>
        <v/>
      </c>
      <c r="T120" s="258">
        <f t="shared" si="60"/>
        <v>0</v>
      </c>
      <c r="U120" s="275" t="str">
        <f t="shared" si="61"/>
        <v/>
      </c>
    </row>
    <row r="121" spans="1:21" outlineLevel="1" x14ac:dyDescent="0.3">
      <c r="A121" s="222"/>
      <c r="C121" s="220" t="s">
        <v>285</v>
      </c>
      <c r="F121" s="300"/>
      <c r="G121" s="270">
        <v>0</v>
      </c>
      <c r="H121" s="185"/>
      <c r="I121" s="185"/>
      <c r="J121" s="185"/>
      <c r="K121" s="22"/>
      <c r="L121" s="271">
        <f t="shared" si="54"/>
        <v>0</v>
      </c>
      <c r="M121" s="252">
        <f t="shared" si="55"/>
        <v>0</v>
      </c>
      <c r="N121" s="252">
        <f t="shared" si="56"/>
        <v>0</v>
      </c>
      <c r="O121" s="252">
        <f t="shared" si="56"/>
        <v>0</v>
      </c>
      <c r="P121" s="254">
        <f t="shared" si="57"/>
        <v>0</v>
      </c>
      <c r="Q121" s="255"/>
      <c r="R121" s="256">
        <f t="shared" si="58"/>
        <v>0</v>
      </c>
      <c r="S121" s="278" t="str">
        <f t="shared" si="59"/>
        <v/>
      </c>
      <c r="T121" s="258">
        <f t="shared" si="60"/>
        <v>0</v>
      </c>
      <c r="U121" s="275" t="str">
        <f t="shared" si="61"/>
        <v/>
      </c>
    </row>
    <row r="122" spans="1:21" outlineLevel="1" x14ac:dyDescent="0.3">
      <c r="A122" s="222"/>
      <c r="C122" s="220" t="s">
        <v>286</v>
      </c>
      <c r="F122" s="300"/>
      <c r="G122" s="270">
        <v>0</v>
      </c>
      <c r="H122" s="185"/>
      <c r="I122" s="185"/>
      <c r="J122" s="185"/>
      <c r="K122" s="22"/>
      <c r="L122" s="271">
        <f t="shared" si="54"/>
        <v>0</v>
      </c>
      <c r="M122" s="252">
        <f t="shared" si="55"/>
        <v>0</v>
      </c>
      <c r="N122" s="252">
        <f t="shared" si="56"/>
        <v>0</v>
      </c>
      <c r="O122" s="252">
        <f t="shared" si="56"/>
        <v>0</v>
      </c>
      <c r="P122" s="254">
        <f t="shared" si="57"/>
        <v>0</v>
      </c>
      <c r="Q122" s="255"/>
      <c r="R122" s="256">
        <f t="shared" si="58"/>
        <v>0</v>
      </c>
      <c r="S122" s="278" t="str">
        <f t="shared" si="59"/>
        <v/>
      </c>
      <c r="T122" s="258">
        <f t="shared" si="60"/>
        <v>0</v>
      </c>
      <c r="U122" s="275" t="str">
        <f t="shared" si="61"/>
        <v/>
      </c>
    </row>
    <row r="123" spans="1:21" outlineLevel="1" x14ac:dyDescent="0.3">
      <c r="A123" s="222"/>
      <c r="C123" s="220" t="s">
        <v>425</v>
      </c>
      <c r="F123" s="300"/>
      <c r="G123" s="270">
        <v>13652.04</v>
      </c>
      <c r="H123" s="185"/>
      <c r="I123" s="185"/>
      <c r="J123" s="185"/>
      <c r="K123" s="22"/>
      <c r="L123" s="271">
        <f t="shared" si="54"/>
        <v>0</v>
      </c>
      <c r="M123" s="252">
        <f t="shared" si="55"/>
        <v>0</v>
      </c>
      <c r="N123" s="252">
        <f t="shared" si="56"/>
        <v>0</v>
      </c>
      <c r="O123" s="252">
        <f t="shared" si="56"/>
        <v>0</v>
      </c>
      <c r="P123" s="254">
        <f t="shared" si="57"/>
        <v>0</v>
      </c>
      <c r="Q123" s="255"/>
      <c r="R123" s="256">
        <f t="shared" si="58"/>
        <v>0</v>
      </c>
      <c r="S123" s="278" t="str">
        <f t="shared" si="59"/>
        <v/>
      </c>
      <c r="T123" s="258">
        <f t="shared" si="60"/>
        <v>-13652.04</v>
      </c>
      <c r="U123" s="275">
        <f t="shared" si="61"/>
        <v>0</v>
      </c>
    </row>
    <row r="124" spans="1:21" outlineLevel="1" x14ac:dyDescent="0.3">
      <c r="A124" s="222"/>
      <c r="C124" s="220" t="s">
        <v>426</v>
      </c>
      <c r="F124" s="300"/>
      <c r="G124" s="270">
        <v>6247</v>
      </c>
      <c r="H124" s="185"/>
      <c r="I124" s="185"/>
      <c r="J124" s="185"/>
      <c r="K124" s="22"/>
      <c r="L124" s="271">
        <f t="shared" si="54"/>
        <v>0</v>
      </c>
      <c r="M124" s="252">
        <f t="shared" si="55"/>
        <v>0</v>
      </c>
      <c r="N124" s="252">
        <f t="shared" si="56"/>
        <v>0</v>
      </c>
      <c r="O124" s="252">
        <f t="shared" si="56"/>
        <v>0</v>
      </c>
      <c r="P124" s="254">
        <f t="shared" si="57"/>
        <v>0</v>
      </c>
      <c r="Q124" s="255"/>
      <c r="R124" s="256">
        <f t="shared" si="58"/>
        <v>0</v>
      </c>
      <c r="S124" s="278" t="str">
        <f t="shared" si="59"/>
        <v/>
      </c>
      <c r="T124" s="258">
        <f t="shared" si="60"/>
        <v>-6247</v>
      </c>
      <c r="U124" s="275">
        <f t="shared" si="61"/>
        <v>0</v>
      </c>
    </row>
    <row r="125" spans="1:21" outlineLevel="1" x14ac:dyDescent="0.3">
      <c r="A125" s="222"/>
      <c r="C125" s="220" t="s">
        <v>113</v>
      </c>
      <c r="F125" s="300"/>
      <c r="G125" s="270">
        <v>500</v>
      </c>
      <c r="H125" s="185"/>
      <c r="I125" s="185"/>
      <c r="J125" s="185"/>
      <c r="K125" s="22"/>
      <c r="L125" s="271">
        <f t="shared" si="54"/>
        <v>0</v>
      </c>
      <c r="M125" s="252">
        <f t="shared" si="55"/>
        <v>0</v>
      </c>
      <c r="N125" s="252">
        <f t="shared" si="56"/>
        <v>0</v>
      </c>
      <c r="O125" s="252">
        <f t="shared" si="56"/>
        <v>0</v>
      </c>
      <c r="P125" s="254">
        <f t="shared" si="57"/>
        <v>0</v>
      </c>
      <c r="Q125" s="255"/>
      <c r="R125" s="256">
        <f t="shared" si="58"/>
        <v>0</v>
      </c>
      <c r="S125" s="278" t="str">
        <f t="shared" si="59"/>
        <v/>
      </c>
      <c r="T125" s="258">
        <f t="shared" si="60"/>
        <v>-500</v>
      </c>
      <c r="U125" s="275">
        <f t="shared" si="61"/>
        <v>0</v>
      </c>
    </row>
    <row r="126" spans="1:21" outlineLevel="1" x14ac:dyDescent="0.3">
      <c r="A126" s="222"/>
      <c r="C126" s="220" t="s">
        <v>427</v>
      </c>
      <c r="F126" s="300"/>
      <c r="G126" s="270">
        <v>1803</v>
      </c>
      <c r="H126" s="185"/>
      <c r="I126" s="185"/>
      <c r="J126" s="185"/>
      <c r="K126" s="22"/>
      <c r="L126" s="271">
        <f t="shared" si="54"/>
        <v>0</v>
      </c>
      <c r="M126" s="252">
        <f t="shared" si="55"/>
        <v>0</v>
      </c>
      <c r="N126" s="252">
        <f t="shared" si="56"/>
        <v>0</v>
      </c>
      <c r="O126" s="252">
        <f t="shared" si="56"/>
        <v>0</v>
      </c>
      <c r="P126" s="254">
        <f t="shared" si="57"/>
        <v>0</v>
      </c>
      <c r="Q126" s="255">
        <v>800</v>
      </c>
      <c r="R126" s="256">
        <f t="shared" si="58"/>
        <v>-800</v>
      </c>
      <c r="S126" s="278">
        <f t="shared" si="59"/>
        <v>0</v>
      </c>
      <c r="T126" s="258">
        <f t="shared" si="60"/>
        <v>-1803</v>
      </c>
      <c r="U126" s="275">
        <f t="shared" si="61"/>
        <v>0</v>
      </c>
    </row>
    <row r="127" spans="1:21" outlineLevel="1" x14ac:dyDescent="0.3">
      <c r="A127" s="222"/>
      <c r="C127" s="220" t="s">
        <v>428</v>
      </c>
      <c r="F127" s="300"/>
      <c r="G127" s="270">
        <v>736.02</v>
      </c>
      <c r="H127" s="185"/>
      <c r="I127" s="185"/>
      <c r="J127" s="185"/>
      <c r="K127" s="22"/>
      <c r="L127" s="271">
        <f t="shared" si="54"/>
        <v>0</v>
      </c>
      <c r="M127" s="252">
        <f t="shared" si="55"/>
        <v>0</v>
      </c>
      <c r="N127" s="252">
        <f t="shared" si="56"/>
        <v>0</v>
      </c>
      <c r="O127" s="252">
        <f t="shared" si="56"/>
        <v>0</v>
      </c>
      <c r="P127" s="254">
        <f t="shared" si="57"/>
        <v>0</v>
      </c>
      <c r="Q127" s="255"/>
      <c r="R127" s="256">
        <f t="shared" si="58"/>
        <v>0</v>
      </c>
      <c r="S127" s="278" t="str">
        <f t="shared" si="59"/>
        <v/>
      </c>
      <c r="T127" s="258">
        <f t="shared" si="60"/>
        <v>-736.02</v>
      </c>
      <c r="U127" s="275">
        <f t="shared" si="61"/>
        <v>0</v>
      </c>
    </row>
    <row r="128" spans="1:21" outlineLevel="1" x14ac:dyDescent="0.3">
      <c r="A128" s="222"/>
      <c r="C128" s="220" t="s">
        <v>429</v>
      </c>
      <c r="F128" s="300"/>
      <c r="G128" s="270">
        <v>8374</v>
      </c>
      <c r="H128" s="185"/>
      <c r="I128" s="185"/>
      <c r="J128" s="185"/>
      <c r="K128" s="22"/>
      <c r="L128" s="271">
        <f t="shared" si="54"/>
        <v>0</v>
      </c>
      <c r="M128" s="252">
        <f t="shared" si="55"/>
        <v>0</v>
      </c>
      <c r="N128" s="252">
        <f t="shared" si="56"/>
        <v>0</v>
      </c>
      <c r="O128" s="252">
        <f t="shared" si="56"/>
        <v>0</v>
      </c>
      <c r="P128" s="254">
        <f t="shared" si="57"/>
        <v>0</v>
      </c>
      <c r="Q128" s="255"/>
      <c r="R128" s="256">
        <f t="shared" si="58"/>
        <v>0</v>
      </c>
      <c r="S128" s="278" t="str">
        <f t="shared" si="59"/>
        <v/>
      </c>
      <c r="T128" s="258">
        <f t="shared" si="60"/>
        <v>-8374</v>
      </c>
      <c r="U128" s="275">
        <f t="shared" si="61"/>
        <v>0</v>
      </c>
    </row>
    <row r="129" spans="1:21" outlineLevel="1" x14ac:dyDescent="0.3">
      <c r="A129" s="222"/>
      <c r="C129" s="220" t="s">
        <v>430</v>
      </c>
      <c r="F129" s="300"/>
      <c r="G129" s="270">
        <v>13095</v>
      </c>
      <c r="H129" s="185"/>
      <c r="I129" s="185"/>
      <c r="J129" s="185"/>
      <c r="K129" s="22"/>
      <c r="L129" s="271">
        <f t="shared" si="54"/>
        <v>0</v>
      </c>
      <c r="M129" s="252">
        <f t="shared" si="55"/>
        <v>0</v>
      </c>
      <c r="N129" s="252">
        <f t="shared" si="56"/>
        <v>0</v>
      </c>
      <c r="O129" s="252">
        <f t="shared" si="56"/>
        <v>0</v>
      </c>
      <c r="P129" s="254">
        <f t="shared" si="57"/>
        <v>0</v>
      </c>
      <c r="Q129" s="255"/>
      <c r="R129" s="256">
        <f t="shared" si="58"/>
        <v>0</v>
      </c>
      <c r="S129" s="278" t="str">
        <f t="shared" si="59"/>
        <v/>
      </c>
      <c r="T129" s="258">
        <f t="shared" si="60"/>
        <v>-13095</v>
      </c>
      <c r="U129" s="275">
        <f t="shared" si="61"/>
        <v>0</v>
      </c>
    </row>
    <row r="130" spans="1:21" outlineLevel="1" x14ac:dyDescent="0.3">
      <c r="A130" s="222"/>
      <c r="C130" s="220" t="s">
        <v>445</v>
      </c>
      <c r="F130" s="300"/>
      <c r="G130" s="270">
        <v>0</v>
      </c>
      <c r="H130" s="185"/>
      <c r="I130" s="185"/>
      <c r="J130" s="185"/>
      <c r="K130" s="22"/>
      <c r="L130" s="271">
        <f t="shared" si="54"/>
        <v>0</v>
      </c>
      <c r="M130" s="252">
        <f t="shared" si="55"/>
        <v>0</v>
      </c>
      <c r="N130" s="252">
        <f t="shared" si="56"/>
        <v>0</v>
      </c>
      <c r="O130" s="252">
        <f t="shared" si="56"/>
        <v>0</v>
      </c>
      <c r="P130" s="254">
        <f t="shared" si="57"/>
        <v>0</v>
      </c>
      <c r="Q130" s="255"/>
      <c r="R130" s="256">
        <f t="shared" si="58"/>
        <v>0</v>
      </c>
      <c r="S130" s="278" t="str">
        <f t="shared" si="59"/>
        <v/>
      </c>
      <c r="T130" s="258">
        <f t="shared" si="60"/>
        <v>0</v>
      </c>
      <c r="U130" s="275" t="str">
        <f t="shared" si="61"/>
        <v/>
      </c>
    </row>
    <row r="131" spans="1:21" outlineLevel="1" x14ac:dyDescent="0.3">
      <c r="A131" s="222"/>
      <c r="F131" s="300"/>
      <c r="G131" s="270"/>
      <c r="H131" s="185"/>
      <c r="I131" s="185"/>
      <c r="J131" s="185"/>
      <c r="K131" s="22"/>
      <c r="L131" s="271"/>
      <c r="M131" s="252"/>
      <c r="N131" s="252"/>
      <c r="O131" s="252"/>
      <c r="P131" s="254"/>
      <c r="Q131" s="255"/>
      <c r="R131" s="256"/>
      <c r="S131" s="257"/>
      <c r="T131" s="258"/>
      <c r="U131" s="275"/>
    </row>
    <row r="132" spans="1:21" x14ac:dyDescent="0.3">
      <c r="A132" s="222"/>
      <c r="C132" s="222" t="s">
        <v>311</v>
      </c>
      <c r="F132" s="300"/>
      <c r="G132" s="261">
        <f t="shared" ref="G132:R132" si="62">SUM(G115:G131)</f>
        <v>44407.06</v>
      </c>
      <c r="H132" s="186">
        <f>SUM(H115:H131)</f>
        <v>0</v>
      </c>
      <c r="I132" s="186">
        <f>SUM(I115:I131)</f>
        <v>8676</v>
      </c>
      <c r="J132" s="186">
        <f>SUM(J115:J131)</f>
        <v>8676</v>
      </c>
      <c r="K132" s="347">
        <f>SUM(K115:K131)</f>
        <v>8676</v>
      </c>
      <c r="L132" s="263">
        <f t="shared" si="62"/>
        <v>0</v>
      </c>
      <c r="M132" s="262">
        <f t="shared" si="62"/>
        <v>8676</v>
      </c>
      <c r="N132" s="262">
        <f t="shared" si="62"/>
        <v>0</v>
      </c>
      <c r="O132" s="262">
        <f t="shared" si="62"/>
        <v>0</v>
      </c>
      <c r="P132" s="264">
        <f t="shared" si="62"/>
        <v>8676</v>
      </c>
      <c r="Q132" s="265">
        <f>SUM(Q115:Q131)</f>
        <v>19700</v>
      </c>
      <c r="R132" s="266">
        <f t="shared" si="62"/>
        <v>-11024</v>
      </c>
      <c r="S132" s="276">
        <f>IF(Q132=0,"",P132/Q132)</f>
        <v>0.44040609137055836</v>
      </c>
      <c r="T132" s="268">
        <f>SUM(T115:T131)</f>
        <v>-35731.06</v>
      </c>
      <c r="U132" s="310">
        <f>IF(G132=0,"",P132/G132)</f>
        <v>0.19537433912535529</v>
      </c>
    </row>
    <row r="133" spans="1:21" x14ac:dyDescent="0.3">
      <c r="A133" s="222"/>
      <c r="F133" s="300"/>
      <c r="G133" s="270"/>
      <c r="H133" s="185"/>
      <c r="I133" s="185"/>
      <c r="J133" s="185"/>
      <c r="K133" s="22"/>
      <c r="L133" s="271"/>
      <c r="M133" s="252"/>
      <c r="N133" s="252"/>
      <c r="O133" s="252"/>
      <c r="P133" s="254"/>
      <c r="Q133" s="255"/>
      <c r="R133" s="256"/>
      <c r="S133" s="257"/>
      <c r="T133" s="258"/>
      <c r="U133" s="275"/>
    </row>
    <row r="134" spans="1:21" x14ac:dyDescent="0.3">
      <c r="B134" s="222" t="s">
        <v>306</v>
      </c>
      <c r="F134" s="300"/>
      <c r="G134" s="270"/>
      <c r="H134" s="185"/>
      <c r="I134" s="185"/>
      <c r="J134" s="185"/>
      <c r="K134" s="22"/>
      <c r="L134" s="271"/>
      <c r="M134" s="252"/>
      <c r="N134" s="252"/>
      <c r="O134" s="252"/>
      <c r="P134" s="254"/>
      <c r="Q134" s="255"/>
      <c r="R134" s="256">
        <f>P134-Q134</f>
        <v>0</v>
      </c>
      <c r="S134" s="278" t="str">
        <f>IF(Q134=0,"",P134/Q134)</f>
        <v/>
      </c>
      <c r="T134" s="258">
        <f>P134-G134</f>
        <v>0</v>
      </c>
      <c r="U134" s="275" t="str">
        <f>IF(G134=0,"",P134/G134)</f>
        <v/>
      </c>
    </row>
    <row r="135" spans="1:21" x14ac:dyDescent="0.3">
      <c r="C135" s="220" t="s">
        <v>312</v>
      </c>
      <c r="F135" s="300"/>
      <c r="G135" s="270">
        <v>5247</v>
      </c>
      <c r="H135" s="187"/>
      <c r="I135" s="185">
        <v>5446</v>
      </c>
      <c r="J135" s="185">
        <v>5446</v>
      </c>
      <c r="K135" s="22">
        <v>5446</v>
      </c>
      <c r="L135" s="271">
        <f>+H135</f>
        <v>0</v>
      </c>
      <c r="M135" s="252">
        <f>IF(I135=0,0,I135-H135)</f>
        <v>5446</v>
      </c>
      <c r="N135" s="252">
        <f t="shared" ref="N135:O138" si="63">IF(J135=0,0,J135-I135)</f>
        <v>0</v>
      </c>
      <c r="O135" s="252">
        <f t="shared" si="63"/>
        <v>0</v>
      </c>
      <c r="P135" s="254">
        <f>SUM(L135:O135)</f>
        <v>5446</v>
      </c>
      <c r="Q135" s="255">
        <v>5181</v>
      </c>
      <c r="R135" s="256">
        <f>P135-Q135</f>
        <v>265</v>
      </c>
      <c r="S135" s="278">
        <f>IF(Q135=0,"",P135/Q135)</f>
        <v>1.0511484269446052</v>
      </c>
      <c r="T135" s="258">
        <f>P135-G135</f>
        <v>199</v>
      </c>
      <c r="U135" s="275">
        <f>IF(G135=0,"",P135/G135)</f>
        <v>1.0379264341528494</v>
      </c>
    </row>
    <row r="136" spans="1:21" x14ac:dyDescent="0.3">
      <c r="C136" s="220" t="s">
        <v>313</v>
      </c>
      <c r="F136" s="300"/>
      <c r="G136" s="270">
        <v>0</v>
      </c>
      <c r="H136" s="187"/>
      <c r="I136" s="187"/>
      <c r="J136" s="185"/>
      <c r="K136" s="22"/>
      <c r="L136" s="271">
        <f>+H136</f>
        <v>0</v>
      </c>
      <c r="M136" s="252">
        <f>IF(I136=0,0,I136-H136)</f>
        <v>0</v>
      </c>
      <c r="N136" s="252">
        <f t="shared" si="63"/>
        <v>0</v>
      </c>
      <c r="O136" s="252">
        <f t="shared" si="63"/>
        <v>0</v>
      </c>
      <c r="P136" s="254">
        <f>SUM(L136:O136)</f>
        <v>0</v>
      </c>
      <c r="Q136" s="255"/>
      <c r="R136" s="256">
        <f>P136-Q136</f>
        <v>0</v>
      </c>
      <c r="S136" s="278" t="str">
        <f>IF(Q136=0,"",P136/Q136)</f>
        <v/>
      </c>
      <c r="T136" s="258">
        <f>P136-G136</f>
        <v>0</v>
      </c>
      <c r="U136" s="275" t="str">
        <f>IF(G136=0,"",P136/G136)</f>
        <v/>
      </c>
    </row>
    <row r="137" spans="1:21" x14ac:dyDescent="0.3">
      <c r="C137" s="220" t="s">
        <v>314</v>
      </c>
      <c r="F137" s="300"/>
      <c r="G137" s="270">
        <v>0</v>
      </c>
      <c r="H137" s="187"/>
      <c r="I137" s="187"/>
      <c r="J137" s="187"/>
      <c r="K137" s="22"/>
      <c r="L137" s="271">
        <f>+H137</f>
        <v>0</v>
      </c>
      <c r="M137" s="252">
        <f>IF(I137=0,0,I137-H137)</f>
        <v>0</v>
      </c>
      <c r="N137" s="252">
        <f t="shared" si="63"/>
        <v>0</v>
      </c>
      <c r="O137" s="252">
        <f t="shared" si="63"/>
        <v>0</v>
      </c>
      <c r="P137" s="254">
        <f>SUM(L137:O137)</f>
        <v>0</v>
      </c>
      <c r="Q137" s="255"/>
      <c r="R137" s="256">
        <f>P137-Q137</f>
        <v>0</v>
      </c>
      <c r="S137" s="278" t="str">
        <f>IF(Q137=0,"",P137/Q137)</f>
        <v/>
      </c>
      <c r="T137" s="258">
        <f>P137-G137</f>
        <v>0</v>
      </c>
      <c r="U137" s="275" t="str">
        <f>IF(G137=0,"",P137/G137)</f>
        <v/>
      </c>
    </row>
    <row r="138" spans="1:21" x14ac:dyDescent="0.3">
      <c r="C138" s="220" t="s">
        <v>315</v>
      </c>
      <c r="F138" s="300"/>
      <c r="G138" s="270">
        <v>0</v>
      </c>
      <c r="H138" s="187"/>
      <c r="I138" s="187"/>
      <c r="J138" s="187"/>
      <c r="K138" s="22"/>
      <c r="L138" s="271">
        <f>+H138</f>
        <v>0</v>
      </c>
      <c r="M138" s="252">
        <f>IF(I138=0,0,I138-H138)</f>
        <v>0</v>
      </c>
      <c r="N138" s="252">
        <f t="shared" si="63"/>
        <v>0</v>
      </c>
      <c r="O138" s="252">
        <f t="shared" si="63"/>
        <v>0</v>
      </c>
      <c r="P138" s="254">
        <f>SUM(L138:O138)</f>
        <v>0</v>
      </c>
      <c r="Q138" s="255"/>
      <c r="R138" s="256">
        <f>P138-Q138</f>
        <v>0</v>
      </c>
      <c r="S138" s="278" t="str">
        <f>IF(Q138=0,"",P138/Q138)</f>
        <v/>
      </c>
      <c r="T138" s="258">
        <f>P138-G138</f>
        <v>0</v>
      </c>
      <c r="U138" s="275" t="str">
        <f>IF(G138=0,"",P138/G138)</f>
        <v/>
      </c>
    </row>
    <row r="139" spans="1:21" x14ac:dyDescent="0.3">
      <c r="F139" s="300"/>
      <c r="G139" s="270"/>
      <c r="H139" s="185"/>
      <c r="I139" s="185"/>
      <c r="J139" s="185"/>
      <c r="K139" s="22"/>
      <c r="L139" s="271"/>
      <c r="M139" s="252"/>
      <c r="N139" s="252"/>
      <c r="O139" s="252"/>
      <c r="P139" s="254"/>
      <c r="Q139" s="255"/>
      <c r="R139" s="256"/>
      <c r="S139" s="257"/>
      <c r="T139" s="258"/>
      <c r="U139" s="275"/>
    </row>
    <row r="140" spans="1:21" x14ac:dyDescent="0.3">
      <c r="C140" s="222" t="s">
        <v>316</v>
      </c>
      <c r="F140" s="300">
        <v>8520</v>
      </c>
      <c r="G140" s="261">
        <f t="shared" ref="G140:P140" si="64">SUM(G135:G139)</f>
        <v>5247</v>
      </c>
      <c r="H140" s="186">
        <f>SUM(H135:H139)</f>
        <v>0</v>
      </c>
      <c r="I140" s="186">
        <f>SUM(I135:I139)</f>
        <v>5446</v>
      </c>
      <c r="J140" s="186">
        <f>SUM(J135:J139)</f>
        <v>5446</v>
      </c>
      <c r="K140" s="347">
        <f>SUM(K135:K139)</f>
        <v>5446</v>
      </c>
      <c r="L140" s="263">
        <f t="shared" si="64"/>
        <v>0</v>
      </c>
      <c r="M140" s="262">
        <f t="shared" si="64"/>
        <v>5446</v>
      </c>
      <c r="N140" s="262">
        <f t="shared" si="64"/>
        <v>0</v>
      </c>
      <c r="O140" s="262">
        <f t="shared" si="64"/>
        <v>0</v>
      </c>
      <c r="P140" s="264">
        <f t="shared" si="64"/>
        <v>5446</v>
      </c>
      <c r="Q140" s="265">
        <f>SUM(Q135:Q139)</f>
        <v>5181</v>
      </c>
      <c r="R140" s="266">
        <f>SUM(R134:R139)</f>
        <v>265</v>
      </c>
      <c r="S140" s="276">
        <f>IF(Q140=0,"",P140/Q140)</f>
        <v>1.0511484269446052</v>
      </c>
      <c r="T140" s="268">
        <f>SUM(T134:T139)</f>
        <v>199</v>
      </c>
      <c r="U140" s="310">
        <f>IF(G140=0,"",P140/G140)</f>
        <v>1.0379264341528494</v>
      </c>
    </row>
    <row r="141" spans="1:21" x14ac:dyDescent="0.3">
      <c r="F141" s="300"/>
      <c r="G141" s="270"/>
      <c r="H141" s="185"/>
      <c r="I141" s="185"/>
      <c r="J141" s="185"/>
      <c r="K141" s="22"/>
      <c r="L141" s="271"/>
      <c r="M141" s="252"/>
      <c r="N141" s="252"/>
      <c r="O141" s="252"/>
      <c r="P141" s="254"/>
      <c r="Q141" s="255"/>
      <c r="R141" s="256"/>
      <c r="S141" s="257"/>
      <c r="T141" s="258"/>
      <c r="U141" s="275"/>
    </row>
    <row r="142" spans="1:21" x14ac:dyDescent="0.3">
      <c r="B142" s="222" t="s">
        <v>304</v>
      </c>
      <c r="F142" s="300"/>
      <c r="G142" s="270"/>
      <c r="H142" s="185"/>
      <c r="I142" s="185"/>
      <c r="J142" s="185"/>
      <c r="K142" s="22"/>
      <c r="L142" s="271"/>
      <c r="M142" s="252"/>
      <c r="N142" s="252"/>
      <c r="O142" s="252"/>
      <c r="P142" s="254"/>
      <c r="Q142" s="255"/>
      <c r="R142" s="256"/>
      <c r="S142" s="257"/>
      <c r="T142" s="258"/>
      <c r="U142" s="275"/>
    </row>
    <row r="143" spans="1:21" x14ac:dyDescent="0.3">
      <c r="C143" s="220" t="s">
        <v>317</v>
      </c>
      <c r="F143" s="300">
        <v>8130</v>
      </c>
      <c r="G143" s="270">
        <v>1039</v>
      </c>
      <c r="H143" s="187">
        <v>269.58</v>
      </c>
      <c r="I143" s="187">
        <v>468</v>
      </c>
      <c r="J143" s="185">
        <v>893</v>
      </c>
      <c r="K143" s="22">
        <v>1174</v>
      </c>
      <c r="L143" s="271">
        <f>+H143</f>
        <v>269.58</v>
      </c>
      <c r="M143" s="252">
        <f>IF(I143=0,0,I143-H143)</f>
        <v>198.42000000000002</v>
      </c>
      <c r="N143" s="252">
        <f t="shared" ref="N143:O147" si="65">IF(J143=0,0,J143-I143)</f>
        <v>425</v>
      </c>
      <c r="O143" s="252">
        <f t="shared" si="65"/>
        <v>281</v>
      </c>
      <c r="P143" s="254">
        <f>SUM(L143:O143)</f>
        <v>1174</v>
      </c>
      <c r="Q143" s="255">
        <v>823</v>
      </c>
      <c r="R143" s="256">
        <f>P143-Q143</f>
        <v>351</v>
      </c>
      <c r="S143" s="278">
        <f>IF(Q143=0,"",P143/Q143)</f>
        <v>1.4264884568651275</v>
      </c>
      <c r="T143" s="258">
        <f>P143-G143</f>
        <v>135</v>
      </c>
      <c r="U143" s="275">
        <f>IF(G143=0,"",P143/G143)</f>
        <v>1.1299326275264678</v>
      </c>
    </row>
    <row r="144" spans="1:21" x14ac:dyDescent="0.3">
      <c r="C144" s="220" t="s">
        <v>318</v>
      </c>
      <c r="F144" s="300">
        <v>8221</v>
      </c>
      <c r="G144" s="270">
        <v>1851</v>
      </c>
      <c r="H144" s="185">
        <v>471.15</v>
      </c>
      <c r="I144" s="185">
        <v>342</v>
      </c>
      <c r="J144" s="185">
        <v>1341</v>
      </c>
      <c r="K144" s="22">
        <v>2205</v>
      </c>
      <c r="L144" s="271">
        <f>+H144</f>
        <v>471.15</v>
      </c>
      <c r="M144" s="252">
        <f>IF(I144=0,0,I144-H144)</f>
        <v>-129.14999999999998</v>
      </c>
      <c r="N144" s="252">
        <f t="shared" si="65"/>
        <v>999</v>
      </c>
      <c r="O144" s="252">
        <f t="shared" si="65"/>
        <v>864</v>
      </c>
      <c r="P144" s="254">
        <f>SUM(L144:O144)</f>
        <v>2205</v>
      </c>
      <c r="Q144" s="255">
        <v>1912</v>
      </c>
      <c r="R144" s="256">
        <f>P144-Q144</f>
        <v>293</v>
      </c>
      <c r="S144" s="278">
        <f>IF(Q144=0,"",P144/Q144)</f>
        <v>1.1532426778242677</v>
      </c>
      <c r="T144" s="258">
        <f>P144-G144</f>
        <v>354</v>
      </c>
      <c r="U144" s="275">
        <f>IF(G144=0,"",P144/G144)</f>
        <v>1.1912479740680713</v>
      </c>
    </row>
    <row r="145" spans="2:21" x14ac:dyDescent="0.3">
      <c r="C145" s="220" t="s">
        <v>319</v>
      </c>
      <c r="F145" s="300">
        <v>8223</v>
      </c>
      <c r="G145" s="270">
        <v>4021</v>
      </c>
      <c r="H145" s="185">
        <v>736.61</v>
      </c>
      <c r="I145" s="185">
        <v>1793</v>
      </c>
      <c r="J145" s="185">
        <v>3201</v>
      </c>
      <c r="K145" s="22">
        <v>4257</v>
      </c>
      <c r="L145" s="271">
        <f>+H145</f>
        <v>736.61</v>
      </c>
      <c r="M145" s="252">
        <f>IF(I145=0,0,I145-H145)</f>
        <v>1056.3899999999999</v>
      </c>
      <c r="N145" s="252">
        <f t="shared" si="65"/>
        <v>1408</v>
      </c>
      <c r="O145" s="252">
        <f t="shared" si="65"/>
        <v>1056</v>
      </c>
      <c r="P145" s="254">
        <f>SUM(L145:O145)</f>
        <v>4257</v>
      </c>
      <c r="Q145" s="255">
        <v>4135</v>
      </c>
      <c r="R145" s="256">
        <f>P145-Q145</f>
        <v>122</v>
      </c>
      <c r="S145" s="278">
        <f>IF(Q145=0,"",P145/Q145)</f>
        <v>1.0295042321644499</v>
      </c>
      <c r="T145" s="258">
        <f>P145-G145</f>
        <v>236</v>
      </c>
      <c r="U145" s="275">
        <f>IF(G145=0,"",P145/G145)</f>
        <v>1.0586918676946033</v>
      </c>
    </row>
    <row r="146" spans="2:21" x14ac:dyDescent="0.3">
      <c r="C146" s="220" t="s">
        <v>320</v>
      </c>
      <c r="F146" s="300"/>
      <c r="G146" s="270">
        <v>0</v>
      </c>
      <c r="H146" s="185"/>
      <c r="I146" s="185"/>
      <c r="J146" s="185"/>
      <c r="K146" s="22"/>
      <c r="L146" s="271">
        <f>+H146</f>
        <v>0</v>
      </c>
      <c r="M146" s="252">
        <f>IF(I146=0,0,I146-H146)</f>
        <v>0</v>
      </c>
      <c r="N146" s="252">
        <f t="shared" si="65"/>
        <v>0</v>
      </c>
      <c r="O146" s="252">
        <f t="shared" si="65"/>
        <v>0</v>
      </c>
      <c r="P146" s="254">
        <f>SUM(L146:O146)</f>
        <v>0</v>
      </c>
      <c r="Q146" s="255"/>
      <c r="R146" s="256">
        <f>P146-Q146</f>
        <v>0</v>
      </c>
      <c r="S146" s="278" t="str">
        <f>IF(Q146=0,"",P146/Q146)</f>
        <v/>
      </c>
      <c r="T146" s="258">
        <f>P146-G146</f>
        <v>0</v>
      </c>
      <c r="U146" s="275" t="str">
        <f>IF(G146=0,"",P146/G146)</f>
        <v/>
      </c>
    </row>
    <row r="147" spans="2:21" x14ac:dyDescent="0.3">
      <c r="C147" s="220" t="s">
        <v>321</v>
      </c>
      <c r="F147" s="300"/>
      <c r="G147" s="270">
        <v>0</v>
      </c>
      <c r="H147" s="185"/>
      <c r="I147" s="185">
        <v>668</v>
      </c>
      <c r="J147" s="185"/>
      <c r="K147" s="22"/>
      <c r="L147" s="271">
        <f>+H147</f>
        <v>0</v>
      </c>
      <c r="M147" s="252">
        <f>IF(I147=0,0,I147-H147)</f>
        <v>668</v>
      </c>
      <c r="N147" s="252">
        <f t="shared" si="65"/>
        <v>0</v>
      </c>
      <c r="O147" s="252">
        <f t="shared" si="65"/>
        <v>0</v>
      </c>
      <c r="P147" s="254">
        <f>SUM(L147:O147)</f>
        <v>668</v>
      </c>
      <c r="Q147" s="255">
        <v>47</v>
      </c>
      <c r="R147" s="256">
        <f>P147-Q147</f>
        <v>621</v>
      </c>
      <c r="S147" s="278">
        <f>IF(Q147=0,"",P147/Q147)</f>
        <v>14.212765957446809</v>
      </c>
      <c r="T147" s="258">
        <f>P147-G147</f>
        <v>668</v>
      </c>
      <c r="U147" s="275" t="str">
        <f>IF(G147=0,"",P147/G147)</f>
        <v/>
      </c>
    </row>
    <row r="148" spans="2:21" x14ac:dyDescent="0.3">
      <c r="F148" s="300"/>
      <c r="G148" s="270"/>
      <c r="H148" s="185"/>
      <c r="I148" s="185"/>
      <c r="J148" s="185"/>
      <c r="K148" s="22"/>
      <c r="L148" s="271"/>
      <c r="M148" s="252"/>
      <c r="N148" s="252"/>
      <c r="O148" s="252"/>
      <c r="P148" s="254"/>
      <c r="Q148" s="255"/>
      <c r="R148" s="256"/>
      <c r="S148" s="257"/>
      <c r="T148" s="258"/>
      <c r="U148" s="275"/>
    </row>
    <row r="149" spans="2:21" x14ac:dyDescent="0.3">
      <c r="C149" s="222" t="s">
        <v>322</v>
      </c>
      <c r="F149" s="300"/>
      <c r="G149" s="261">
        <f t="shared" ref="G149:R149" si="66">SUM(G143:G148)</f>
        <v>6911</v>
      </c>
      <c r="H149" s="186">
        <f t="shared" si="66"/>
        <v>1477.3400000000001</v>
      </c>
      <c r="I149" s="186">
        <f t="shared" si="66"/>
        <v>3271</v>
      </c>
      <c r="J149" s="186">
        <f t="shared" si="66"/>
        <v>5435</v>
      </c>
      <c r="K149" s="347">
        <f t="shared" si="66"/>
        <v>7636</v>
      </c>
      <c r="L149" s="263">
        <f t="shared" si="66"/>
        <v>1477.3400000000001</v>
      </c>
      <c r="M149" s="262">
        <f t="shared" si="66"/>
        <v>1793.6599999999999</v>
      </c>
      <c r="N149" s="262">
        <f t="shared" si="66"/>
        <v>2832</v>
      </c>
      <c r="O149" s="262">
        <f t="shared" si="66"/>
        <v>2201</v>
      </c>
      <c r="P149" s="264">
        <f t="shared" si="66"/>
        <v>8304</v>
      </c>
      <c r="Q149" s="265">
        <f t="shared" si="66"/>
        <v>6917</v>
      </c>
      <c r="R149" s="266">
        <f t="shared" si="66"/>
        <v>1387</v>
      </c>
      <c r="S149" s="276">
        <f>IF(Q149=0,"",P149/Q149)</f>
        <v>1.2005204568454533</v>
      </c>
      <c r="T149" s="268">
        <f>SUM(T143:T148)</f>
        <v>1393</v>
      </c>
      <c r="U149" s="310">
        <f>IF(G149=0,"",P149/G149)</f>
        <v>1.201562726088844</v>
      </c>
    </row>
    <row r="150" spans="2:21" x14ac:dyDescent="0.3">
      <c r="F150" s="300"/>
      <c r="G150" s="270"/>
      <c r="H150" s="185"/>
      <c r="I150" s="185"/>
      <c r="J150" s="185"/>
      <c r="K150" s="22"/>
      <c r="L150" s="271"/>
      <c r="M150" s="252"/>
      <c r="N150" s="252"/>
      <c r="O150" s="252"/>
      <c r="P150" s="254"/>
      <c r="Q150" s="255"/>
      <c r="R150" s="256"/>
      <c r="S150" s="257"/>
      <c r="T150" s="258"/>
      <c r="U150" s="275"/>
    </row>
    <row r="151" spans="2:21" x14ac:dyDescent="0.3">
      <c r="B151" s="222" t="s">
        <v>305</v>
      </c>
      <c r="F151" s="300"/>
      <c r="G151" s="270"/>
      <c r="H151" s="185"/>
      <c r="I151" s="185"/>
      <c r="J151" s="185"/>
      <c r="K151" s="22"/>
      <c r="L151" s="271"/>
      <c r="M151" s="252"/>
      <c r="N151" s="252"/>
      <c r="O151" s="252"/>
      <c r="P151" s="254"/>
      <c r="Q151" s="255"/>
      <c r="R151" s="256"/>
      <c r="S151" s="257"/>
      <c r="T151" s="258"/>
      <c r="U151" s="275"/>
    </row>
    <row r="152" spans="2:21" x14ac:dyDescent="0.3">
      <c r="C152" s="220" t="s">
        <v>323</v>
      </c>
      <c r="F152" s="300" t="s">
        <v>324</v>
      </c>
      <c r="G152" s="270">
        <v>1626</v>
      </c>
      <c r="H152" s="185">
        <v>320.44</v>
      </c>
      <c r="I152" s="185">
        <v>684</v>
      </c>
      <c r="J152" s="185">
        <v>1108</v>
      </c>
      <c r="K152" s="22">
        <v>1579</v>
      </c>
      <c r="L152" s="271">
        <f t="shared" ref="L152:L157" si="67">+H152</f>
        <v>320.44</v>
      </c>
      <c r="M152" s="252">
        <f t="shared" ref="M152:M157" si="68">IF(I152=0,0,I152-H152)</f>
        <v>363.56</v>
      </c>
      <c r="N152" s="252">
        <f t="shared" ref="N152:O156" si="69">IF(J152=0,0,J152-I152)</f>
        <v>424</v>
      </c>
      <c r="O152" s="252">
        <f t="shared" si="69"/>
        <v>471</v>
      </c>
      <c r="P152" s="254">
        <f t="shared" ref="P152:P157" si="70">SUM(L152:O152)</f>
        <v>1579</v>
      </c>
      <c r="Q152" s="255">
        <v>1911</v>
      </c>
      <c r="R152" s="256">
        <f>P152-Q152</f>
        <v>-332</v>
      </c>
      <c r="S152" s="278">
        <f>IF(Q152=0,"",P152/Q152)</f>
        <v>0.82626896912611203</v>
      </c>
      <c r="T152" s="258">
        <f>P152-G152</f>
        <v>-47</v>
      </c>
      <c r="U152" s="275">
        <f>IF(G152=0,"",P152/G152)</f>
        <v>0.97109471094710942</v>
      </c>
    </row>
    <row r="153" spans="2:21" x14ac:dyDescent="0.3">
      <c r="C153" s="220" t="s">
        <v>325</v>
      </c>
      <c r="F153" s="300" t="s">
        <v>326</v>
      </c>
      <c r="G153" s="270">
        <v>986</v>
      </c>
      <c r="H153" s="185">
        <v>10.08</v>
      </c>
      <c r="I153" s="185">
        <v>659</v>
      </c>
      <c r="J153" s="185">
        <v>1449</v>
      </c>
      <c r="K153" s="22">
        <v>1580</v>
      </c>
      <c r="L153" s="271">
        <f t="shared" si="67"/>
        <v>10.08</v>
      </c>
      <c r="M153" s="252">
        <f t="shared" si="68"/>
        <v>648.91999999999996</v>
      </c>
      <c r="N153" s="252">
        <f t="shared" si="69"/>
        <v>790</v>
      </c>
      <c r="O153" s="252">
        <f t="shared" si="69"/>
        <v>131</v>
      </c>
      <c r="P153" s="254">
        <f t="shared" si="70"/>
        <v>1580</v>
      </c>
      <c r="Q153" s="255">
        <v>1326</v>
      </c>
      <c r="R153" s="256">
        <f>P153-Q153</f>
        <v>254</v>
      </c>
      <c r="S153" s="278">
        <f>IF(Q153=0,"",P153/Q153)</f>
        <v>1.191553544494721</v>
      </c>
      <c r="T153" s="258">
        <f>P153-G153</f>
        <v>594</v>
      </c>
      <c r="U153" s="275">
        <f>IF(G153=0,"",P153/G153)</f>
        <v>1.6024340770791075</v>
      </c>
    </row>
    <row r="154" spans="2:21" x14ac:dyDescent="0.3">
      <c r="C154" s="220" t="s">
        <v>175</v>
      </c>
      <c r="F154" s="300" t="s">
        <v>327</v>
      </c>
      <c r="G154" s="270">
        <v>528</v>
      </c>
      <c r="H154" s="185">
        <v>429.92</v>
      </c>
      <c r="I154" s="185">
        <v>673</v>
      </c>
      <c r="J154" s="185">
        <v>827</v>
      </c>
      <c r="K154" s="22">
        <v>953</v>
      </c>
      <c r="L154" s="271">
        <f t="shared" si="67"/>
        <v>429.92</v>
      </c>
      <c r="M154" s="252">
        <f t="shared" si="68"/>
        <v>243.07999999999998</v>
      </c>
      <c r="N154" s="252">
        <f t="shared" si="69"/>
        <v>154</v>
      </c>
      <c r="O154" s="252">
        <f t="shared" si="69"/>
        <v>126</v>
      </c>
      <c r="P154" s="254">
        <f t="shared" si="70"/>
        <v>953</v>
      </c>
      <c r="Q154" s="255">
        <v>678</v>
      </c>
      <c r="R154" s="256">
        <f>P154-Q154</f>
        <v>275</v>
      </c>
      <c r="S154" s="278">
        <f>IF(Q154=0,"",P154/Q154)</f>
        <v>1.4056047197640118</v>
      </c>
      <c r="T154" s="258">
        <f>P154-G154</f>
        <v>425</v>
      </c>
      <c r="U154" s="275">
        <f>IF(G154=0,"",P154/G154)</f>
        <v>1.8049242424242424</v>
      </c>
    </row>
    <row r="155" spans="2:21" x14ac:dyDescent="0.3">
      <c r="C155" s="220" t="s">
        <v>328</v>
      </c>
      <c r="F155" s="300" t="s">
        <v>329</v>
      </c>
      <c r="G155" s="270">
        <v>148</v>
      </c>
      <c r="H155" s="185"/>
      <c r="I155" s="185"/>
      <c r="J155" s="185"/>
      <c r="K155" s="22"/>
      <c r="L155" s="271">
        <f t="shared" si="67"/>
        <v>0</v>
      </c>
      <c r="M155" s="252">
        <f t="shared" si="68"/>
        <v>0</v>
      </c>
      <c r="N155" s="252">
        <f t="shared" si="69"/>
        <v>0</v>
      </c>
      <c r="O155" s="252">
        <f t="shared" si="69"/>
        <v>0</v>
      </c>
      <c r="P155" s="254">
        <f t="shared" si="70"/>
        <v>0</v>
      </c>
      <c r="Q155" s="255">
        <v>50</v>
      </c>
      <c r="R155" s="256">
        <f>P155-Q155</f>
        <v>-50</v>
      </c>
      <c r="S155" s="278">
        <f>IF(Q155=0,"",P155/Q155)</f>
        <v>0</v>
      </c>
      <c r="T155" s="258">
        <f>P155-G155</f>
        <v>-148</v>
      </c>
      <c r="U155" s="275">
        <f>IF(G155=0,"",P155/G155)</f>
        <v>0</v>
      </c>
    </row>
    <row r="156" spans="2:21" x14ac:dyDescent="0.3">
      <c r="C156" s="220" t="s">
        <v>321</v>
      </c>
      <c r="F156" s="300"/>
      <c r="G156" s="270">
        <v>327</v>
      </c>
      <c r="H156" s="185"/>
      <c r="I156" s="185">
        <v>1122</v>
      </c>
      <c r="J156" s="185">
        <v>1122</v>
      </c>
      <c r="K156" s="22">
        <v>1122</v>
      </c>
      <c r="L156" s="271">
        <f t="shared" si="67"/>
        <v>0</v>
      </c>
      <c r="M156" s="252">
        <f t="shared" si="68"/>
        <v>1122</v>
      </c>
      <c r="N156" s="252">
        <f t="shared" si="69"/>
        <v>0</v>
      </c>
      <c r="O156" s="252">
        <f t="shared" si="69"/>
        <v>0</v>
      </c>
      <c r="P156" s="254">
        <f t="shared" si="70"/>
        <v>1122</v>
      </c>
      <c r="Q156" s="255">
        <v>325</v>
      </c>
      <c r="R156" s="256">
        <f>P156-Q156</f>
        <v>797</v>
      </c>
      <c r="S156" s="278">
        <f>IF(Q156=0,"",P156/Q156)</f>
        <v>3.4523076923076923</v>
      </c>
      <c r="T156" s="258">
        <f>P156-G156</f>
        <v>795</v>
      </c>
      <c r="U156" s="275">
        <f>IF(G156=0,"",P156/G156)</f>
        <v>3.4311926605504586</v>
      </c>
    </row>
    <row r="157" spans="2:21" x14ac:dyDescent="0.3">
      <c r="C157" s="220" t="s">
        <v>424</v>
      </c>
      <c r="F157" s="300"/>
      <c r="G157" s="270">
        <v>950</v>
      </c>
      <c r="H157" s="185"/>
      <c r="I157" s="185"/>
      <c r="J157" s="185"/>
      <c r="K157" s="22"/>
      <c r="L157" s="271">
        <f t="shared" si="67"/>
        <v>0</v>
      </c>
      <c r="M157" s="252">
        <f t="shared" si="68"/>
        <v>0</v>
      </c>
      <c r="N157" s="252">
        <f>IF(J157=0,0,J157-I157)</f>
        <v>0</v>
      </c>
      <c r="O157" s="252">
        <f>IF(K157=0,0,K157-J157)</f>
        <v>0</v>
      </c>
      <c r="P157" s="254">
        <f t="shared" si="70"/>
        <v>0</v>
      </c>
      <c r="Q157" s="255">
        <v>900</v>
      </c>
      <c r="R157" s="256"/>
      <c r="S157" s="257"/>
      <c r="T157" s="258"/>
      <c r="U157" s="275"/>
    </row>
    <row r="158" spans="2:21" x14ac:dyDescent="0.3">
      <c r="C158" s="222" t="s">
        <v>330</v>
      </c>
      <c r="F158" s="300"/>
      <c r="G158" s="261">
        <f t="shared" ref="G158:R158" si="71">SUM(G152:G157)</f>
        <v>4565</v>
      </c>
      <c r="H158" s="186">
        <f>SUM(H152:H157)</f>
        <v>760.44</v>
      </c>
      <c r="I158" s="186">
        <f>SUM(I152:I157)</f>
        <v>3138</v>
      </c>
      <c r="J158" s="186">
        <f>SUM(J152:J157)</f>
        <v>4506</v>
      </c>
      <c r="K158" s="347">
        <f>SUM(K152:K157)</f>
        <v>5234</v>
      </c>
      <c r="L158" s="263">
        <f t="shared" si="71"/>
        <v>760.44</v>
      </c>
      <c r="M158" s="262">
        <f t="shared" si="71"/>
        <v>2377.56</v>
      </c>
      <c r="N158" s="262">
        <f t="shared" si="71"/>
        <v>1368</v>
      </c>
      <c r="O158" s="262">
        <f t="shared" si="71"/>
        <v>728</v>
      </c>
      <c r="P158" s="264">
        <f t="shared" si="71"/>
        <v>5234</v>
      </c>
      <c r="Q158" s="265">
        <f>SUM(Q152:Q157)</f>
        <v>5190</v>
      </c>
      <c r="R158" s="266">
        <f t="shared" si="71"/>
        <v>944</v>
      </c>
      <c r="S158" s="276">
        <f>IF(Q158=0,"",P158/Q158)</f>
        <v>1.0084778420038536</v>
      </c>
      <c r="T158" s="268">
        <f>SUM(T152:T157)</f>
        <v>1619</v>
      </c>
      <c r="U158" s="310">
        <f>IF(G158=0,"",P158/G158)</f>
        <v>1.1465498357064623</v>
      </c>
    </row>
    <row r="159" spans="2:21" x14ac:dyDescent="0.3">
      <c r="F159" s="300"/>
      <c r="G159" s="270"/>
      <c r="H159" s="185"/>
      <c r="I159" s="185"/>
      <c r="J159" s="185"/>
      <c r="K159" s="22"/>
      <c r="L159" s="271"/>
      <c r="M159" s="252"/>
      <c r="N159" s="252"/>
      <c r="O159" s="252"/>
      <c r="P159" s="254"/>
      <c r="Q159" s="255"/>
      <c r="R159" s="256"/>
      <c r="S159" s="257"/>
      <c r="T159" s="258"/>
      <c r="U159" s="275"/>
    </row>
    <row r="160" spans="2:21" x14ac:dyDescent="0.3">
      <c r="B160" s="222" t="s">
        <v>170</v>
      </c>
      <c r="F160" s="300"/>
      <c r="G160" s="270"/>
      <c r="H160" s="185"/>
      <c r="I160" s="185"/>
      <c r="J160" s="185"/>
      <c r="K160" s="22"/>
      <c r="L160" s="271"/>
      <c r="M160" s="252"/>
      <c r="N160" s="252"/>
      <c r="O160" s="252"/>
      <c r="P160" s="254"/>
      <c r="Q160" s="255"/>
      <c r="R160" s="256"/>
      <c r="S160" s="257"/>
      <c r="T160" s="258"/>
      <c r="U160" s="275"/>
    </row>
    <row r="161" spans="1:21" x14ac:dyDescent="0.3">
      <c r="C161" s="220" t="s">
        <v>331</v>
      </c>
      <c r="F161" s="300" t="s">
        <v>332</v>
      </c>
      <c r="G161" s="270">
        <v>0</v>
      </c>
      <c r="H161" s="185"/>
      <c r="I161" s="185"/>
      <c r="J161" s="185"/>
      <c r="K161" s="22"/>
      <c r="L161" s="271">
        <f>+H161</f>
        <v>0</v>
      </c>
      <c r="M161" s="252">
        <f>IF(I161=0,0,I161-H161)</f>
        <v>0</v>
      </c>
      <c r="N161" s="252">
        <f t="shared" ref="N161:O165" si="72">IF(J161=0,0,J161-I161)</f>
        <v>0</v>
      </c>
      <c r="O161" s="252">
        <f t="shared" si="72"/>
        <v>0</v>
      </c>
      <c r="P161" s="254">
        <f>SUM(L161:O161)</f>
        <v>0</v>
      </c>
      <c r="Q161" s="255"/>
      <c r="R161" s="256">
        <f>P161-Q161</f>
        <v>0</v>
      </c>
      <c r="S161" s="278" t="str">
        <f>IF(Q161=0,"",P161/Q161)</f>
        <v/>
      </c>
      <c r="T161" s="258">
        <f>P161-G161</f>
        <v>0</v>
      </c>
      <c r="U161" s="275" t="str">
        <f>IF(G161=0,"",P161/G161)</f>
        <v/>
      </c>
    </row>
    <row r="162" spans="1:21" x14ac:dyDescent="0.3">
      <c r="C162" s="220" t="s">
        <v>333</v>
      </c>
      <c r="F162" s="300" t="s">
        <v>334</v>
      </c>
      <c r="G162" s="270">
        <v>187</v>
      </c>
      <c r="H162" s="185">
        <f>23.85+16.6</f>
        <v>40.450000000000003</v>
      </c>
      <c r="I162" s="185">
        <v>24</v>
      </c>
      <c r="J162" s="185">
        <f>17+24</f>
        <v>41</v>
      </c>
      <c r="K162" s="22">
        <f>48+43+17</f>
        <v>108</v>
      </c>
      <c r="L162" s="271">
        <f>+H162</f>
        <v>40.450000000000003</v>
      </c>
      <c r="M162" s="252">
        <f>IF(I162=0,0,I162-H162)</f>
        <v>-16.450000000000003</v>
      </c>
      <c r="N162" s="252">
        <f t="shared" si="72"/>
        <v>17</v>
      </c>
      <c r="O162" s="252">
        <f t="shared" si="72"/>
        <v>67</v>
      </c>
      <c r="P162" s="254">
        <f>SUM(L162:O162)</f>
        <v>108</v>
      </c>
      <c r="Q162" s="255">
        <v>300</v>
      </c>
      <c r="R162" s="256">
        <f>P162-Q162</f>
        <v>-192</v>
      </c>
      <c r="S162" s="278">
        <f>IF(Q162=0,"",P162/Q162)</f>
        <v>0.36</v>
      </c>
      <c r="T162" s="258">
        <f>P162-G162</f>
        <v>-79</v>
      </c>
      <c r="U162" s="275">
        <f>IF(G162=0,"",P162/G162)</f>
        <v>0.57754010695187163</v>
      </c>
    </row>
    <row r="163" spans="1:21" x14ac:dyDescent="0.3">
      <c r="C163" s="220" t="s">
        <v>335</v>
      </c>
      <c r="F163" s="300" t="s">
        <v>336</v>
      </c>
      <c r="G163" s="270">
        <v>9</v>
      </c>
      <c r="H163" s="185">
        <v>13.02</v>
      </c>
      <c r="I163" s="185">
        <v>13</v>
      </c>
      <c r="J163" s="185">
        <v>13</v>
      </c>
      <c r="K163" s="22">
        <v>76</v>
      </c>
      <c r="L163" s="271">
        <f>+H163</f>
        <v>13.02</v>
      </c>
      <c r="M163" s="252">
        <f>IF(I163=0,0,I163-H163)</f>
        <v>-1.9999999999999574E-2</v>
      </c>
      <c r="N163" s="252">
        <f t="shared" si="72"/>
        <v>0</v>
      </c>
      <c r="O163" s="252">
        <f t="shared" si="72"/>
        <v>63</v>
      </c>
      <c r="P163" s="254">
        <f>SUM(L163:O163)</f>
        <v>76</v>
      </c>
      <c r="Q163" s="255">
        <v>32</v>
      </c>
      <c r="R163" s="256">
        <f>P163-Q163</f>
        <v>44</v>
      </c>
      <c r="S163" s="278">
        <f>IF(Q163=0,"",P163/Q163)</f>
        <v>2.375</v>
      </c>
      <c r="T163" s="258">
        <f>P163-G163</f>
        <v>67</v>
      </c>
      <c r="U163" s="275">
        <f>IF(G163=0,"",P163/G163)</f>
        <v>8.4444444444444446</v>
      </c>
    </row>
    <row r="164" spans="1:21" x14ac:dyDescent="0.3">
      <c r="C164" s="220" t="s">
        <v>337</v>
      </c>
      <c r="F164" s="300"/>
      <c r="G164" s="270">
        <v>0</v>
      </c>
      <c r="H164" s="185"/>
      <c r="I164" s="185"/>
      <c r="J164" s="185"/>
      <c r="K164" s="22"/>
      <c r="L164" s="271">
        <f>+H164</f>
        <v>0</v>
      </c>
      <c r="M164" s="252">
        <f>IF(I164=0,0,I164-H164)</f>
        <v>0</v>
      </c>
      <c r="N164" s="252">
        <f t="shared" si="72"/>
        <v>0</v>
      </c>
      <c r="O164" s="252">
        <f t="shared" si="72"/>
        <v>0</v>
      </c>
      <c r="P164" s="254">
        <f>SUM(L164:O164)</f>
        <v>0</v>
      </c>
      <c r="Q164" s="255"/>
      <c r="R164" s="256">
        <f>P164-Q164</f>
        <v>0</v>
      </c>
      <c r="S164" s="278" t="str">
        <f>IF(Q164=0,"",P164/Q164)</f>
        <v/>
      </c>
      <c r="T164" s="258">
        <f>P164-G164</f>
        <v>0</v>
      </c>
      <c r="U164" s="275" t="str">
        <f>IF(G164=0,"",P164/G164)</f>
        <v/>
      </c>
    </row>
    <row r="165" spans="1:21" x14ac:dyDescent="0.3">
      <c r="C165" s="220" t="s">
        <v>321</v>
      </c>
      <c r="F165" s="300"/>
      <c r="G165" s="270">
        <v>135</v>
      </c>
      <c r="H165" s="185"/>
      <c r="I165" s="185">
        <v>17</v>
      </c>
      <c r="J165" s="185">
        <v>224</v>
      </c>
      <c r="K165" s="30">
        <f>200+249</f>
        <v>449</v>
      </c>
      <c r="L165" s="271">
        <f>+H165</f>
        <v>0</v>
      </c>
      <c r="M165" s="252">
        <f>IF(I165=0,0,I165-H165)</f>
        <v>17</v>
      </c>
      <c r="N165" s="252">
        <f t="shared" si="72"/>
        <v>207</v>
      </c>
      <c r="O165" s="252">
        <f t="shared" si="72"/>
        <v>225</v>
      </c>
      <c r="P165" s="254">
        <f>SUM(L165:O165)</f>
        <v>449</v>
      </c>
      <c r="Q165" s="255">
        <v>90</v>
      </c>
      <c r="R165" s="256">
        <f>P165-Q165</f>
        <v>359</v>
      </c>
      <c r="S165" s="278">
        <f>IF(Q165=0,"",P165/Q165)</f>
        <v>4.9888888888888889</v>
      </c>
      <c r="T165" s="258">
        <f>P165-G165</f>
        <v>314</v>
      </c>
      <c r="U165" s="275">
        <f>IF(G165=0,"",P165/G165)</f>
        <v>3.325925925925926</v>
      </c>
    </row>
    <row r="166" spans="1:21" x14ac:dyDescent="0.3">
      <c r="F166" s="300"/>
      <c r="G166" s="270"/>
      <c r="H166" s="185"/>
      <c r="I166" s="185"/>
      <c r="J166" s="185"/>
      <c r="K166" s="22"/>
      <c r="L166" s="271"/>
      <c r="M166" s="252"/>
      <c r="N166" s="252"/>
      <c r="O166" s="252"/>
      <c r="P166" s="254"/>
      <c r="Q166" s="255"/>
      <c r="R166" s="256"/>
      <c r="S166" s="257"/>
      <c r="T166" s="258"/>
      <c r="U166" s="275"/>
    </row>
    <row r="167" spans="1:21" x14ac:dyDescent="0.3">
      <c r="C167" s="222" t="s">
        <v>338</v>
      </c>
      <c r="F167" s="320"/>
      <c r="G167" s="321">
        <f t="shared" ref="G167:R167" si="73">SUM(G161:G166)</f>
        <v>331</v>
      </c>
      <c r="H167" s="193">
        <f>SUM(H161:H166)</f>
        <v>53.47</v>
      </c>
      <c r="I167" s="193">
        <f>SUM(I161:I166)</f>
        <v>54</v>
      </c>
      <c r="J167" s="193">
        <f>SUM(J161:J166)</f>
        <v>278</v>
      </c>
      <c r="K167" s="352">
        <f>SUM(K161:K166)</f>
        <v>633</v>
      </c>
      <c r="L167" s="323">
        <f t="shared" si="73"/>
        <v>53.47</v>
      </c>
      <c r="M167" s="322">
        <f t="shared" si="73"/>
        <v>0.52999999999999758</v>
      </c>
      <c r="N167" s="322">
        <f t="shared" si="73"/>
        <v>224</v>
      </c>
      <c r="O167" s="322">
        <f t="shared" si="73"/>
        <v>355</v>
      </c>
      <c r="P167" s="324">
        <f t="shared" si="73"/>
        <v>633</v>
      </c>
      <c r="Q167" s="325">
        <f>SUM(Q161:Q166)</f>
        <v>422</v>
      </c>
      <c r="R167" s="326">
        <f t="shared" si="73"/>
        <v>211</v>
      </c>
      <c r="S167" s="327">
        <f>IF(Q167=0,"",P167/Q167)</f>
        <v>1.5</v>
      </c>
      <c r="T167" s="328">
        <f>SUM(T161:T166)</f>
        <v>302</v>
      </c>
      <c r="U167" s="329">
        <f>IF(G167=0,"",P167/G167)</f>
        <v>1.9123867069486404</v>
      </c>
    </row>
    <row r="171" spans="1:21" x14ac:dyDescent="0.3">
      <c r="A171" s="220" t="s">
        <v>339</v>
      </c>
    </row>
    <row r="172" spans="1:21" x14ac:dyDescent="0.3">
      <c r="A172" s="220">
        <v>1</v>
      </c>
      <c r="B172" s="330" t="s">
        <v>403</v>
      </c>
    </row>
    <row r="173" spans="1:21" x14ac:dyDescent="0.3">
      <c r="A173" s="220">
        <v>2</v>
      </c>
      <c r="B173" s="220" t="s">
        <v>404</v>
      </c>
    </row>
    <row r="174" spans="1:21" x14ac:dyDescent="0.3">
      <c r="A174" s="220">
        <v>3</v>
      </c>
      <c r="B174" s="220" t="s">
        <v>235</v>
      </c>
    </row>
    <row r="175" spans="1:21" x14ac:dyDescent="0.3">
      <c r="A175" s="220">
        <v>4</v>
      </c>
      <c r="B175" s="220" t="s">
        <v>236</v>
      </c>
    </row>
  </sheetData>
  <phoneticPr fontId="3" type="noConversion"/>
  <pageMargins left="0.75" right="0.75" top="0.5" bottom="1" header="0.5" footer="0.5"/>
  <pageSetup scale="59" fitToHeight="3" orientation="landscape" horizontalDpi="4294967292" verticalDpi="4294967292"/>
  <headerFooter alignWithMargins="0">
    <oddFooter>&amp;L&amp;F&amp;C&amp;D&amp;R&amp;A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indexed="14"/>
    <pageSetUpPr fitToPage="1"/>
  </sheetPr>
  <dimension ref="A1:P85"/>
  <sheetViews>
    <sheetView zoomScaleNormal="100" workbookViewId="0">
      <pane xSplit="5" ySplit="7" topLeftCell="F67" activePane="bottomRight" state="frozen"/>
      <selection activeCell="H13" sqref="H13"/>
      <selection pane="topRight" activeCell="H13" sqref="H13"/>
      <selection pane="bottomLeft" activeCell="H13" sqref="H13"/>
      <selection pane="bottomRight" activeCell="O7" sqref="O7"/>
    </sheetView>
  </sheetViews>
  <sheetFormatPr defaultColWidth="11.07421875" defaultRowHeight="13.5" outlineLevelRow="1" x14ac:dyDescent="0.3"/>
  <cols>
    <col min="1" max="1" width="5.921875" customWidth="1"/>
    <col min="2" max="2" width="6.3828125" customWidth="1"/>
    <col min="3" max="3" width="4.07421875" customWidth="1"/>
    <col min="4" max="4" width="3.921875" customWidth="1"/>
    <col min="5" max="5" width="10.07421875" customWidth="1"/>
    <col min="6" max="6" width="8.921875" customWidth="1"/>
    <col min="7" max="7" width="12.3828125" customWidth="1"/>
    <col min="9" max="9" width="14.07421875" bestFit="1" customWidth="1"/>
    <col min="10" max="10" width="12.61328125" customWidth="1"/>
    <col min="12" max="12" width="12" customWidth="1"/>
    <col min="13" max="14" width="14.69140625" bestFit="1" customWidth="1"/>
  </cols>
  <sheetData>
    <row r="1" spans="1:15" ht="15" x14ac:dyDescent="0.3">
      <c r="A1" s="2" t="s">
        <v>265</v>
      </c>
    </row>
    <row r="2" spans="1:15" x14ac:dyDescent="0.3">
      <c r="A2" s="21" t="s">
        <v>184</v>
      </c>
      <c r="I2" s="22"/>
    </row>
    <row r="3" spans="1:15" ht="15.5" thickBot="1" x14ac:dyDescent="0.35">
      <c r="A3" s="2" t="s">
        <v>237</v>
      </c>
    </row>
    <row r="4" spans="1:15" ht="14" thickBot="1" x14ac:dyDescent="0.35">
      <c r="A4" s="1" t="s">
        <v>268</v>
      </c>
      <c r="D4" s="36">
        <v>4</v>
      </c>
    </row>
    <row r="5" spans="1:15" x14ac:dyDescent="0.3">
      <c r="E5" s="34"/>
      <c r="G5" s="170" t="s">
        <v>238</v>
      </c>
      <c r="H5">
        <v>1</v>
      </c>
      <c r="I5">
        <v>2</v>
      </c>
      <c r="J5">
        <v>3</v>
      </c>
      <c r="K5">
        <v>4</v>
      </c>
    </row>
    <row r="6" spans="1:15" ht="15" x14ac:dyDescent="0.3">
      <c r="A6" s="2"/>
      <c r="F6" s="180" t="s">
        <v>217</v>
      </c>
      <c r="G6" s="157" t="s">
        <v>80</v>
      </c>
      <c r="H6" s="130" t="s">
        <v>139</v>
      </c>
      <c r="I6" s="131" t="s">
        <v>139</v>
      </c>
      <c r="J6" s="131" t="s">
        <v>139</v>
      </c>
      <c r="K6" s="353" t="s">
        <v>446</v>
      </c>
      <c r="L6" s="334" t="s">
        <v>434</v>
      </c>
      <c r="M6" s="165" t="s">
        <v>140</v>
      </c>
      <c r="N6" s="166" t="s">
        <v>141</v>
      </c>
    </row>
    <row r="7" spans="1:15" x14ac:dyDescent="0.3">
      <c r="F7" s="181" t="s">
        <v>218</v>
      </c>
      <c r="G7" s="158">
        <v>40632</v>
      </c>
      <c r="H7" s="167">
        <v>40723</v>
      </c>
      <c r="I7" s="168">
        <v>40815</v>
      </c>
      <c r="J7" s="168">
        <v>40907</v>
      </c>
      <c r="K7" s="354">
        <v>40998</v>
      </c>
      <c r="L7" s="335" t="s">
        <v>433</v>
      </c>
      <c r="M7" s="162" t="s">
        <v>20</v>
      </c>
      <c r="N7" s="163" t="s">
        <v>128</v>
      </c>
    </row>
    <row r="8" spans="1:15" x14ac:dyDescent="0.3">
      <c r="A8" s="1" t="s">
        <v>239</v>
      </c>
      <c r="F8" s="182"/>
      <c r="G8" s="177"/>
      <c r="H8" s="194"/>
      <c r="I8" s="195"/>
      <c r="J8" s="195"/>
      <c r="K8" s="195"/>
      <c r="L8" s="143"/>
      <c r="M8" s="129"/>
      <c r="N8" s="144"/>
    </row>
    <row r="9" spans="1:15" x14ac:dyDescent="0.3">
      <c r="F9" s="179"/>
      <c r="G9" s="145"/>
      <c r="H9" s="196"/>
      <c r="I9" s="197"/>
      <c r="J9" s="197"/>
      <c r="K9" s="197"/>
      <c r="L9" s="145"/>
      <c r="M9" s="141"/>
      <c r="N9" s="146"/>
    </row>
    <row r="10" spans="1:15" x14ac:dyDescent="0.3">
      <c r="B10" t="s">
        <v>240</v>
      </c>
      <c r="F10" s="179"/>
      <c r="G10" s="132"/>
      <c r="H10" s="198"/>
      <c r="I10" s="199"/>
      <c r="J10" s="199"/>
      <c r="K10" s="199"/>
      <c r="L10" s="132"/>
      <c r="M10" s="137"/>
      <c r="N10" s="147"/>
      <c r="O10" s="22"/>
    </row>
    <row r="11" spans="1:15" x14ac:dyDescent="0.3">
      <c r="B11" t="s">
        <v>241</v>
      </c>
      <c r="F11" s="179"/>
      <c r="G11" s="132"/>
      <c r="H11" s="198"/>
      <c r="I11" s="199"/>
      <c r="J11" s="199"/>
      <c r="K11" s="199"/>
      <c r="L11" s="132"/>
      <c r="M11" s="137"/>
      <c r="N11" s="147"/>
    </row>
    <row r="12" spans="1:15" x14ac:dyDescent="0.3">
      <c r="B12" t="s">
        <v>242</v>
      </c>
      <c r="F12" s="179"/>
      <c r="G12" s="132"/>
      <c r="H12" s="198"/>
      <c r="I12" s="218"/>
      <c r="J12" s="199"/>
      <c r="K12" s="199"/>
      <c r="L12" s="132"/>
      <c r="M12" s="133"/>
      <c r="N12" s="147"/>
    </row>
    <row r="13" spans="1:15" x14ac:dyDescent="0.3">
      <c r="F13" s="179"/>
      <c r="G13" s="132"/>
      <c r="H13" s="198"/>
      <c r="I13" s="199"/>
      <c r="J13" s="199"/>
      <c r="K13" s="199"/>
      <c r="L13" s="132"/>
      <c r="M13" s="133"/>
      <c r="N13" s="147"/>
    </row>
    <row r="14" spans="1:15" x14ac:dyDescent="0.3">
      <c r="F14" s="179"/>
      <c r="G14" s="132"/>
      <c r="H14" s="198"/>
      <c r="I14" s="199"/>
      <c r="J14" s="199"/>
      <c r="K14" s="199"/>
      <c r="L14" s="132"/>
      <c r="M14" s="133"/>
      <c r="N14" s="147"/>
    </row>
    <row r="15" spans="1:15" x14ac:dyDescent="0.3">
      <c r="B15" s="1" t="s">
        <v>243</v>
      </c>
      <c r="F15" s="179"/>
      <c r="G15" s="150">
        <f t="shared" ref="G15:L15" si="0">SUM(G10:G14)</f>
        <v>0</v>
      </c>
      <c r="H15" s="200">
        <f t="shared" si="0"/>
        <v>0</v>
      </c>
      <c r="I15" s="201">
        <f t="shared" si="0"/>
        <v>0</v>
      </c>
      <c r="J15" s="201">
        <f t="shared" si="0"/>
        <v>0</v>
      </c>
      <c r="K15" s="201">
        <f t="shared" si="0"/>
        <v>0</v>
      </c>
      <c r="L15" s="150">
        <f t="shared" si="0"/>
        <v>0</v>
      </c>
      <c r="M15" s="178">
        <f>IF($D$4=$H$5,H15-L15,IF($D$4=$I$5,I15-L15,IF($D$4=$J$5,J15-L15,K15-L15)))</f>
        <v>0</v>
      </c>
      <c r="N15" s="151">
        <f>IF($D$4=$H$5,H15-G15,IF($D$4=$I$5,I15-G15,IF($D$4=$J$5,J15-G15,K15-G15)))</f>
        <v>0</v>
      </c>
    </row>
    <row r="16" spans="1:15" outlineLevel="1" x14ac:dyDescent="0.3">
      <c r="F16" s="179"/>
      <c r="G16" s="132"/>
      <c r="H16" s="198"/>
      <c r="I16" s="199"/>
      <c r="J16" s="199"/>
      <c r="K16" s="199"/>
      <c r="L16" s="132"/>
      <c r="M16" s="133"/>
      <c r="N16" s="147"/>
    </row>
    <row r="17" spans="2:14" outlineLevel="1" x14ac:dyDescent="0.3">
      <c r="B17" t="s">
        <v>244</v>
      </c>
      <c r="F17" s="179">
        <v>1010</v>
      </c>
      <c r="G17" s="132">
        <v>48131</v>
      </c>
      <c r="H17" s="198">
        <v>46888.32</v>
      </c>
      <c r="I17" s="199">
        <v>47411</v>
      </c>
      <c r="J17" s="199">
        <v>64850</v>
      </c>
      <c r="K17" s="199">
        <v>71886</v>
      </c>
      <c r="L17" s="132">
        <f>48131.23-4610+9200</f>
        <v>52721.23</v>
      </c>
      <c r="M17" s="133"/>
      <c r="N17" s="147"/>
    </row>
    <row r="18" spans="2:14" outlineLevel="1" x14ac:dyDescent="0.3">
      <c r="B18" t="s">
        <v>245</v>
      </c>
      <c r="F18" s="179">
        <v>1070</v>
      </c>
      <c r="G18" s="132"/>
      <c r="H18" s="198"/>
      <c r="I18" s="199"/>
      <c r="J18" s="199"/>
      <c r="K18" s="199"/>
      <c r="L18" s="132"/>
      <c r="M18" s="133"/>
      <c r="N18" s="147"/>
    </row>
    <row r="19" spans="2:14" outlineLevel="1" x14ac:dyDescent="0.3">
      <c r="B19" t="s">
        <v>102</v>
      </c>
      <c r="F19" s="179"/>
      <c r="G19" s="132"/>
      <c r="H19" s="198"/>
      <c r="I19" s="199"/>
      <c r="J19" s="199"/>
      <c r="K19" s="199"/>
      <c r="L19" s="132"/>
      <c r="M19" s="133"/>
      <c r="N19" s="147"/>
    </row>
    <row r="20" spans="2:14" outlineLevel="1" x14ac:dyDescent="0.3">
      <c r="F20" s="179"/>
      <c r="G20" s="132"/>
      <c r="H20" s="198"/>
      <c r="I20" s="199"/>
      <c r="J20" s="199"/>
      <c r="K20" s="199"/>
      <c r="L20" s="132"/>
      <c r="M20" s="133"/>
      <c r="N20" s="147"/>
    </row>
    <row r="21" spans="2:14" outlineLevel="1" x14ac:dyDescent="0.3">
      <c r="F21" s="179"/>
      <c r="G21" s="136"/>
      <c r="H21" s="202"/>
      <c r="I21" s="203"/>
      <c r="J21" s="203"/>
      <c r="K21" s="199"/>
      <c r="L21" s="132"/>
      <c r="M21" s="133"/>
      <c r="N21" s="147"/>
    </row>
    <row r="22" spans="2:14" outlineLevel="1" x14ac:dyDescent="0.3">
      <c r="B22" s="1" t="s">
        <v>103</v>
      </c>
      <c r="F22" s="179"/>
      <c r="G22" s="150">
        <f t="shared" ref="G22:L22" si="1">SUM(G17:G21)</f>
        <v>48131</v>
      </c>
      <c r="H22" s="200">
        <f t="shared" si="1"/>
        <v>46888.32</v>
      </c>
      <c r="I22" s="201">
        <f t="shared" si="1"/>
        <v>47411</v>
      </c>
      <c r="J22" s="201">
        <f t="shared" si="1"/>
        <v>64850</v>
      </c>
      <c r="K22" s="201">
        <f t="shared" si="1"/>
        <v>71886</v>
      </c>
      <c r="L22" s="150">
        <f t="shared" si="1"/>
        <v>52721.23</v>
      </c>
      <c r="M22" s="148">
        <f>IF($D$4=$H$5,H22-L22,IF($D$4=$I$5,I22-L22,IF($D$4=$J$5,J22-L22,K22-L22)))</f>
        <v>19164.769999999997</v>
      </c>
      <c r="N22" s="151">
        <f>IF($D$4=$H$5,H22-G22,IF($D$4=$I$5,I22-G22,IF($D$4=$J$5,J22-G22,K22-G22)))</f>
        <v>23755</v>
      </c>
    </row>
    <row r="23" spans="2:14" outlineLevel="1" x14ac:dyDescent="0.3">
      <c r="F23" s="179"/>
      <c r="G23" s="132"/>
      <c r="H23" s="198"/>
      <c r="I23" s="199"/>
      <c r="J23" s="199"/>
      <c r="K23" s="199"/>
      <c r="L23" s="132"/>
      <c r="M23" s="133"/>
      <c r="N23" s="147"/>
    </row>
    <row r="24" spans="2:14" outlineLevel="1" x14ac:dyDescent="0.3">
      <c r="B24" t="s">
        <v>246</v>
      </c>
      <c r="F24" s="179"/>
      <c r="G24" s="132"/>
      <c r="H24" s="198"/>
      <c r="I24" s="199"/>
      <c r="J24" s="199"/>
      <c r="K24" s="199"/>
      <c r="L24" s="132"/>
      <c r="M24" s="133"/>
      <c r="N24" s="147"/>
    </row>
    <row r="25" spans="2:14" outlineLevel="1" x14ac:dyDescent="0.3">
      <c r="B25" t="s">
        <v>247</v>
      </c>
      <c r="F25" s="179"/>
      <c r="G25" s="132"/>
      <c r="H25" s="198"/>
      <c r="I25" s="199"/>
      <c r="J25" s="199"/>
      <c r="K25" s="199"/>
      <c r="L25" s="132"/>
      <c r="M25" s="133"/>
      <c r="N25" s="147"/>
    </row>
    <row r="26" spans="2:14" outlineLevel="1" x14ac:dyDescent="0.3">
      <c r="B26" t="s">
        <v>248</v>
      </c>
      <c r="F26" s="179"/>
      <c r="G26" s="132"/>
      <c r="H26" s="198"/>
      <c r="I26" s="199"/>
      <c r="J26" s="199"/>
      <c r="K26" s="199"/>
      <c r="L26" s="132"/>
      <c r="M26" s="133"/>
      <c r="N26" s="147"/>
    </row>
    <row r="27" spans="2:14" outlineLevel="1" x14ac:dyDescent="0.3">
      <c r="F27" s="179"/>
      <c r="G27" s="132"/>
      <c r="H27" s="198"/>
      <c r="I27" s="199"/>
      <c r="J27" s="199"/>
      <c r="K27" s="199"/>
      <c r="L27" s="132"/>
      <c r="M27" s="133"/>
      <c r="N27" s="147"/>
    </row>
    <row r="28" spans="2:14" outlineLevel="1" x14ac:dyDescent="0.3">
      <c r="F28" s="179"/>
      <c r="G28" s="132"/>
      <c r="H28" s="198"/>
      <c r="I28" s="199"/>
      <c r="J28" s="199"/>
      <c r="K28" s="199"/>
      <c r="L28" s="132"/>
      <c r="M28" s="133"/>
      <c r="N28" s="147"/>
    </row>
    <row r="29" spans="2:14" outlineLevel="1" x14ac:dyDescent="0.3">
      <c r="B29" s="1" t="s">
        <v>249</v>
      </c>
      <c r="F29" s="179"/>
      <c r="G29" s="150">
        <f t="shared" ref="G29:L29" si="2">SUM(G24:G28)</f>
        <v>0</v>
      </c>
      <c r="H29" s="200">
        <f t="shared" si="2"/>
        <v>0</v>
      </c>
      <c r="I29" s="201">
        <f t="shared" si="2"/>
        <v>0</v>
      </c>
      <c r="J29" s="201">
        <f t="shared" si="2"/>
        <v>0</v>
      </c>
      <c r="K29" s="201">
        <f t="shared" si="2"/>
        <v>0</v>
      </c>
      <c r="L29" s="150">
        <f t="shared" si="2"/>
        <v>0</v>
      </c>
      <c r="M29" s="148">
        <f>IF($D$4=$H$5,H29-L29,IF($D$4=$I$5,I29-L29,IF($D$4=$J$5,J29-L29,K29-L29)))</f>
        <v>0</v>
      </c>
      <c r="N29" s="151">
        <f>IF($D$4=$H$5,H29-G29,IF($D$4=$I$5,I29-G29,IF($D$4=$J$5,J29-G29,K29-G29)))</f>
        <v>0</v>
      </c>
    </row>
    <row r="30" spans="2:14" outlineLevel="1" x14ac:dyDescent="0.3">
      <c r="F30" s="179"/>
      <c r="G30" s="132"/>
      <c r="H30" s="198"/>
      <c r="I30" s="199"/>
      <c r="J30" s="199"/>
      <c r="K30" s="199"/>
      <c r="L30" s="132"/>
      <c r="M30" s="133"/>
      <c r="N30" s="147"/>
    </row>
    <row r="31" spans="2:14" outlineLevel="1" x14ac:dyDescent="0.3">
      <c r="B31" s="1" t="s">
        <v>250</v>
      </c>
      <c r="F31" s="179"/>
      <c r="G31" s="134">
        <f t="shared" ref="G31:L31" si="3">+G15+G22+G29</f>
        <v>48131</v>
      </c>
      <c r="H31" s="204">
        <f t="shared" si="3"/>
        <v>46888.32</v>
      </c>
      <c r="I31" s="205">
        <f t="shared" si="3"/>
        <v>47411</v>
      </c>
      <c r="J31" s="205">
        <f t="shared" si="3"/>
        <v>64850</v>
      </c>
      <c r="K31" s="355">
        <f t="shared" si="3"/>
        <v>71886</v>
      </c>
      <c r="L31" s="134">
        <f t="shared" si="3"/>
        <v>52721.23</v>
      </c>
      <c r="M31" s="135">
        <f>IF($D$4=$H$5,H31-L31,IF($D$4=$I$5,I31-L31,IF($D$4=$J$5,J31-L31,K31-L31)))</f>
        <v>19164.769999999997</v>
      </c>
      <c r="N31" s="152">
        <f>IF($D$4=$H$5,H31-G31,IF($D$4=$I$5,I31-G31,IF($D$4=$J$5,J31-G31,K31-G31)))</f>
        <v>23755</v>
      </c>
    </row>
    <row r="32" spans="2:14" x14ac:dyDescent="0.3">
      <c r="F32" s="179"/>
      <c r="G32" s="132"/>
      <c r="H32" s="198"/>
      <c r="I32" s="199"/>
      <c r="J32" s="199"/>
      <c r="K32" s="199"/>
      <c r="L32" s="132"/>
      <c r="M32" s="133"/>
      <c r="N32" s="147"/>
    </row>
    <row r="33" spans="1:16" x14ac:dyDescent="0.3">
      <c r="A33" s="1" t="s">
        <v>251</v>
      </c>
      <c r="F33" s="179"/>
      <c r="G33" s="136"/>
      <c r="H33" s="202"/>
      <c r="I33" s="203"/>
      <c r="J33" s="203"/>
      <c r="K33" s="203"/>
      <c r="L33" s="136"/>
      <c r="M33" s="137"/>
      <c r="N33" s="153"/>
    </row>
    <row r="34" spans="1:16" x14ac:dyDescent="0.3">
      <c r="B34" t="s">
        <v>252</v>
      </c>
      <c r="F34" s="179"/>
      <c r="G34" s="136"/>
      <c r="H34" s="202"/>
      <c r="I34" s="203"/>
      <c r="J34" s="203"/>
      <c r="K34" s="203"/>
      <c r="L34" s="136"/>
      <c r="M34" s="137"/>
      <c r="N34" s="153"/>
    </row>
    <row r="35" spans="1:16" x14ac:dyDescent="0.3">
      <c r="F35" s="179"/>
      <c r="G35" s="136"/>
      <c r="H35" s="202"/>
      <c r="I35" s="203"/>
      <c r="J35" s="203"/>
      <c r="K35" s="203"/>
      <c r="L35" s="136"/>
      <c r="M35" s="137"/>
      <c r="N35" s="153"/>
    </row>
    <row r="36" spans="1:16" x14ac:dyDescent="0.3">
      <c r="F36" s="179"/>
      <c r="G36" s="132"/>
      <c r="H36" s="198"/>
      <c r="I36" s="199"/>
      <c r="J36" s="199"/>
      <c r="K36" s="199"/>
      <c r="L36" s="132"/>
      <c r="M36" s="133"/>
      <c r="N36" s="147"/>
    </row>
    <row r="37" spans="1:16" x14ac:dyDescent="0.3">
      <c r="B37" s="1" t="s">
        <v>253</v>
      </c>
      <c r="F37" s="179"/>
      <c r="G37" s="150">
        <f t="shared" ref="G37:L37" si="4">SUM(G34:G36)</f>
        <v>0</v>
      </c>
      <c r="H37" s="200">
        <f t="shared" si="4"/>
        <v>0</v>
      </c>
      <c r="I37" s="201">
        <f t="shared" si="4"/>
        <v>0</v>
      </c>
      <c r="J37" s="201">
        <f t="shared" si="4"/>
        <v>0</v>
      </c>
      <c r="K37" s="201">
        <f t="shared" si="4"/>
        <v>0</v>
      </c>
      <c r="L37" s="150">
        <f t="shared" si="4"/>
        <v>0</v>
      </c>
      <c r="M37" s="149">
        <f>IF($D$4=$H$5,H37-L37,IF($D$4=$I$5,I37-L37,IF($D$4=$J$5,J37-L37,K37-L37)))</f>
        <v>0</v>
      </c>
      <c r="N37" s="151">
        <f>IF($D$4=$H$5,H37-G37,IF($D$4=$I$5,I37-G37,IF($D$4=$J$5,J37-G37,K37-G37)))</f>
        <v>0</v>
      </c>
    </row>
    <row r="38" spans="1:16" x14ac:dyDescent="0.3">
      <c r="F38" s="179"/>
      <c r="G38" s="132"/>
      <c r="H38" s="198"/>
      <c r="I38" s="199"/>
      <c r="J38" s="199"/>
      <c r="K38" s="199"/>
      <c r="L38" s="132"/>
      <c r="M38" s="133"/>
      <c r="N38" s="147"/>
    </row>
    <row r="39" spans="1:16" hidden="1" outlineLevel="1" x14ac:dyDescent="0.3">
      <c r="A39" s="1" t="s">
        <v>254</v>
      </c>
      <c r="B39" s="1"/>
      <c r="F39" s="179"/>
      <c r="G39" s="132"/>
      <c r="H39" s="198"/>
      <c r="I39" s="199"/>
      <c r="J39" s="199"/>
      <c r="K39" s="199"/>
      <c r="L39" s="132"/>
      <c r="M39" s="133"/>
      <c r="N39" s="147"/>
    </row>
    <row r="40" spans="1:16" hidden="1" outlineLevel="1" x14ac:dyDescent="0.3">
      <c r="B40" t="s">
        <v>255</v>
      </c>
      <c r="F40" s="179"/>
      <c r="G40" s="132"/>
      <c r="H40" s="198"/>
      <c r="I40" s="199"/>
      <c r="J40" s="199"/>
      <c r="K40" s="199"/>
      <c r="L40" s="132"/>
      <c r="M40" s="133"/>
      <c r="N40" s="147"/>
    </row>
    <row r="41" spans="1:16" hidden="1" outlineLevel="1" x14ac:dyDescent="0.3">
      <c r="B41" t="s">
        <v>256</v>
      </c>
      <c r="F41" s="179"/>
      <c r="G41" s="132"/>
      <c r="H41" s="198"/>
      <c r="I41" s="199"/>
      <c r="J41" s="199"/>
      <c r="K41" s="199"/>
      <c r="L41" s="132"/>
      <c r="M41" s="133"/>
      <c r="N41" s="147"/>
    </row>
    <row r="42" spans="1:16" hidden="1" outlineLevel="1" x14ac:dyDescent="0.3">
      <c r="F42" s="179"/>
      <c r="G42" s="132"/>
      <c r="H42" s="198"/>
      <c r="I42" s="199"/>
      <c r="J42" s="199"/>
      <c r="K42" s="199"/>
      <c r="L42" s="132"/>
      <c r="M42" s="133"/>
      <c r="N42" s="147"/>
    </row>
    <row r="43" spans="1:16" collapsed="1" x14ac:dyDescent="0.3">
      <c r="B43" s="1" t="s">
        <v>257</v>
      </c>
      <c r="F43" s="179"/>
      <c r="G43" s="150">
        <f t="shared" ref="G43:L43" si="5">SUM(G40:G42)</f>
        <v>0</v>
      </c>
      <c r="H43" s="200">
        <f t="shared" si="5"/>
        <v>0</v>
      </c>
      <c r="I43" s="201">
        <f t="shared" si="5"/>
        <v>0</v>
      </c>
      <c r="J43" s="201">
        <f t="shared" si="5"/>
        <v>0</v>
      </c>
      <c r="K43" s="201">
        <f t="shared" si="5"/>
        <v>0</v>
      </c>
      <c r="L43" s="150">
        <f t="shared" si="5"/>
        <v>0</v>
      </c>
      <c r="M43" s="148">
        <f>IF($D$4=$H$5,H43-L43,IF($D$4=$I$5,I43-L43,IF($D$4=$J$5,J43-L43,K43-L43)))</f>
        <v>0</v>
      </c>
      <c r="N43" s="151">
        <f>IF($D$4=$H$5,H43-G43,IF($D$4=$I$5,I43-G43,IF($D$4=$J$5,J43-G43,K43-G43)))</f>
        <v>0</v>
      </c>
    </row>
    <row r="44" spans="1:16" x14ac:dyDescent="0.3">
      <c r="F44" s="179"/>
      <c r="G44" s="132"/>
      <c r="H44" s="198"/>
      <c r="I44" s="199"/>
      <c r="J44" s="199"/>
      <c r="K44" s="199"/>
      <c r="L44" s="132"/>
      <c r="M44" s="133"/>
      <c r="N44" s="147"/>
    </row>
    <row r="45" spans="1:16" ht="14" thickBot="1" x14ac:dyDescent="0.35">
      <c r="A45" s="1" t="s">
        <v>371</v>
      </c>
      <c r="F45" s="179"/>
      <c r="G45" s="138">
        <f t="shared" ref="G45:L45" si="6">+G43+G37+G31</f>
        <v>48131</v>
      </c>
      <c r="H45" s="206">
        <f t="shared" si="6"/>
        <v>46888.32</v>
      </c>
      <c r="I45" s="207">
        <f t="shared" si="6"/>
        <v>47411</v>
      </c>
      <c r="J45" s="207">
        <f t="shared" si="6"/>
        <v>64850</v>
      </c>
      <c r="K45" s="356">
        <f t="shared" si="6"/>
        <v>71886</v>
      </c>
      <c r="L45" s="138">
        <f t="shared" si="6"/>
        <v>52721.23</v>
      </c>
      <c r="M45" s="140">
        <f>IF($D$4=$H$5,H45-L45,IF($D$4=$I$5,I45-L45,IF($D$4=$J$5,J45-L45,K45-L45)))</f>
        <v>19164.769999999997</v>
      </c>
      <c r="N45" s="154">
        <f>IF($D$4=$H$5,H45-G45,IF($D$4=$I$5,I45-G45,IF($D$4=$J$5,J45-G45,K45-G45)))</f>
        <v>23755</v>
      </c>
    </row>
    <row r="46" spans="1:16" ht="14" thickTop="1" x14ac:dyDescent="0.3">
      <c r="F46" s="179"/>
      <c r="G46" s="132"/>
      <c r="H46" s="198"/>
      <c r="I46" s="199"/>
      <c r="J46" s="199"/>
      <c r="K46" s="199"/>
      <c r="L46" s="132"/>
      <c r="M46" s="133"/>
      <c r="N46" s="147"/>
    </row>
    <row r="47" spans="1:16" x14ac:dyDescent="0.3">
      <c r="A47" s="1" t="s">
        <v>372</v>
      </c>
      <c r="F47" s="179"/>
      <c r="G47" s="132"/>
      <c r="H47" s="198"/>
      <c r="I47" s="199"/>
      <c r="J47" s="199"/>
      <c r="K47" s="199"/>
      <c r="L47" s="132"/>
      <c r="M47" s="133"/>
      <c r="N47" s="147"/>
      <c r="P47" s="22"/>
    </row>
    <row r="48" spans="1:16" x14ac:dyDescent="0.3">
      <c r="B48" t="s">
        <v>373</v>
      </c>
      <c r="F48" s="179">
        <v>2020</v>
      </c>
      <c r="G48" s="132"/>
      <c r="H48" s="198">
        <v>0.05</v>
      </c>
      <c r="I48" s="199"/>
      <c r="J48" s="199"/>
      <c r="K48" s="199"/>
      <c r="L48" s="132"/>
      <c r="M48" s="133"/>
      <c r="N48" s="147"/>
    </row>
    <row r="49" spans="1:14" x14ac:dyDescent="0.3">
      <c r="B49" t="s">
        <v>374</v>
      </c>
      <c r="F49" s="179">
        <v>2010</v>
      </c>
      <c r="G49" s="132">
        <v>861</v>
      </c>
      <c r="H49" s="198">
        <v>311.48</v>
      </c>
      <c r="I49" s="199">
        <v>396</v>
      </c>
      <c r="J49" s="199">
        <f>680</f>
        <v>680</v>
      </c>
      <c r="K49" s="199">
        <v>404</v>
      </c>
      <c r="L49" s="132">
        <v>750</v>
      </c>
      <c r="M49" s="133"/>
      <c r="N49" s="147"/>
    </row>
    <row r="50" spans="1:14" x14ac:dyDescent="0.3">
      <c r="B50" t="s">
        <v>375</v>
      </c>
      <c r="F50" s="179">
        <v>3111</v>
      </c>
      <c r="G50" s="132">
        <v>615</v>
      </c>
      <c r="H50" s="198">
        <v>1139</v>
      </c>
      <c r="I50" s="203">
        <v>1987</v>
      </c>
      <c r="J50" s="199">
        <v>2250</v>
      </c>
      <c r="K50" s="199">
        <v>4151</v>
      </c>
      <c r="L50" s="132">
        <v>100</v>
      </c>
      <c r="M50" s="133"/>
      <c r="N50" s="147"/>
    </row>
    <row r="51" spans="1:14" x14ac:dyDescent="0.3">
      <c r="B51" t="s">
        <v>376</v>
      </c>
      <c r="F51" s="179">
        <v>2040</v>
      </c>
      <c r="G51" s="132"/>
      <c r="H51" s="198"/>
      <c r="I51" s="199"/>
      <c r="J51" s="199"/>
      <c r="K51" s="199"/>
      <c r="L51" s="132"/>
      <c r="M51" s="133"/>
      <c r="N51" s="147"/>
    </row>
    <row r="52" spans="1:14" x14ac:dyDescent="0.3">
      <c r="B52" t="s">
        <v>377</v>
      </c>
      <c r="F52" s="179"/>
      <c r="G52" s="132"/>
      <c r="H52" s="198"/>
      <c r="I52" s="199"/>
      <c r="J52" s="199"/>
      <c r="K52" s="199"/>
      <c r="L52" s="132"/>
      <c r="M52" s="133"/>
      <c r="N52" s="147"/>
    </row>
    <row r="53" spans="1:14" x14ac:dyDescent="0.3">
      <c r="F53" s="179"/>
      <c r="G53" s="132"/>
      <c r="H53" s="198"/>
      <c r="I53" s="199"/>
      <c r="J53" s="199"/>
      <c r="K53" s="199"/>
      <c r="L53" s="132"/>
      <c r="M53" s="133"/>
      <c r="N53" s="147"/>
    </row>
    <row r="54" spans="1:14" x14ac:dyDescent="0.3">
      <c r="F54" s="179"/>
      <c r="G54" s="132"/>
      <c r="H54" s="198"/>
      <c r="I54" s="199"/>
      <c r="J54" s="199"/>
      <c r="K54" s="199"/>
      <c r="L54" s="132"/>
      <c r="M54" s="133"/>
      <c r="N54" s="147"/>
    </row>
    <row r="55" spans="1:14" x14ac:dyDescent="0.3">
      <c r="B55" s="1" t="s">
        <v>378</v>
      </c>
      <c r="F55" s="179"/>
      <c r="G55" s="150">
        <f t="shared" ref="G55:L55" si="7">SUM(G48:G54)</f>
        <v>1476</v>
      </c>
      <c r="H55" s="200">
        <f t="shared" si="7"/>
        <v>1450.53</v>
      </c>
      <c r="I55" s="201">
        <f t="shared" si="7"/>
        <v>2383</v>
      </c>
      <c r="J55" s="201">
        <f t="shared" si="7"/>
        <v>2930</v>
      </c>
      <c r="K55" s="201">
        <f t="shared" si="7"/>
        <v>4555</v>
      </c>
      <c r="L55" s="150">
        <f t="shared" si="7"/>
        <v>850</v>
      </c>
      <c r="M55" s="149">
        <f>IF($D$4=$H$5,H55-L55,IF($D$4=$I$5,I55-L55,IF($D$4=$J$5,J55-L55,K55-L55)))</f>
        <v>3705</v>
      </c>
      <c r="N55" s="151">
        <f>IF($D$4=$H$5,H55-G55,IF($D$4=$I$5,I55-G55,IF($D$4=$J$5,J55-G55,K55-G55)))</f>
        <v>3079</v>
      </c>
    </row>
    <row r="56" spans="1:14" x14ac:dyDescent="0.3">
      <c r="F56" s="179"/>
      <c r="G56" s="132"/>
      <c r="H56" s="198"/>
      <c r="I56" s="199"/>
      <c r="J56" s="199"/>
      <c r="K56" s="199"/>
      <c r="L56" s="132"/>
      <c r="M56" s="133"/>
      <c r="N56" s="147"/>
    </row>
    <row r="57" spans="1:14" x14ac:dyDescent="0.3">
      <c r="A57" s="1" t="s">
        <v>379</v>
      </c>
      <c r="F57" s="179"/>
      <c r="G57" s="132"/>
      <c r="H57" s="198"/>
      <c r="I57" s="199"/>
      <c r="J57" s="199"/>
      <c r="K57" s="199"/>
      <c r="L57" s="132"/>
      <c r="M57" s="133"/>
      <c r="N57" s="147"/>
    </row>
    <row r="58" spans="1:14" x14ac:dyDescent="0.3">
      <c r="B58" s="156" t="s">
        <v>422</v>
      </c>
      <c r="F58" s="179" t="s">
        <v>380</v>
      </c>
      <c r="G58" s="132">
        <f>G84</f>
        <v>25882</v>
      </c>
      <c r="H58" s="198">
        <f>H84</f>
        <v>37239.43</v>
      </c>
      <c r="I58" s="199">
        <f>I84</f>
        <v>37878</v>
      </c>
      <c r="J58" s="199">
        <f>J84</f>
        <v>37878</v>
      </c>
      <c r="K58" s="199">
        <f>K84</f>
        <v>37878</v>
      </c>
      <c r="L58" s="132">
        <f>+L84</f>
        <v>19700</v>
      </c>
      <c r="M58" s="133"/>
      <c r="N58" s="147"/>
    </row>
    <row r="59" spans="1:14" x14ac:dyDescent="0.3">
      <c r="B59" t="s">
        <v>381</v>
      </c>
      <c r="F59" s="179"/>
      <c r="G59" s="132">
        <v>8000</v>
      </c>
      <c r="H59" s="198"/>
      <c r="I59" s="199"/>
      <c r="J59" s="199"/>
      <c r="K59" s="199"/>
      <c r="L59" s="132">
        <v>800</v>
      </c>
      <c r="M59" s="133"/>
      <c r="N59" s="147"/>
    </row>
    <row r="60" spans="1:14" x14ac:dyDescent="0.3">
      <c r="B60" t="s">
        <v>382</v>
      </c>
      <c r="F60" s="179"/>
      <c r="G60" s="132">
        <f>+G45-G55-G58-G59</f>
        <v>12773</v>
      </c>
      <c r="H60" s="198">
        <f>+H45-H55-H58-H59</f>
        <v>8198.36</v>
      </c>
      <c r="I60" s="199">
        <f>+I45-I55-I58-I59</f>
        <v>7150</v>
      </c>
      <c r="J60" s="199">
        <f>+J45-J55-J58-J59</f>
        <v>24042</v>
      </c>
      <c r="K60" s="199">
        <f>+K45-K55-K58-K59</f>
        <v>29453</v>
      </c>
      <c r="L60" s="132">
        <v>31371.23</v>
      </c>
      <c r="M60" s="133"/>
      <c r="N60" s="147"/>
    </row>
    <row r="61" spans="1:14" x14ac:dyDescent="0.3">
      <c r="F61" s="179"/>
      <c r="G61" s="132"/>
      <c r="H61" s="198"/>
      <c r="I61" s="199"/>
      <c r="J61" s="199"/>
      <c r="K61" s="199"/>
      <c r="L61" s="132"/>
      <c r="M61" s="133"/>
      <c r="N61" s="147"/>
    </row>
    <row r="62" spans="1:14" x14ac:dyDescent="0.3">
      <c r="B62" s="1" t="s">
        <v>383</v>
      </c>
      <c r="F62" s="179"/>
      <c r="G62" s="150">
        <f t="shared" ref="G62:L62" si="8">SUM(G58:G61)</f>
        <v>46655</v>
      </c>
      <c r="H62" s="200">
        <f t="shared" si="8"/>
        <v>45437.79</v>
      </c>
      <c r="I62" s="201">
        <f t="shared" si="8"/>
        <v>45028</v>
      </c>
      <c r="J62" s="201">
        <f t="shared" si="8"/>
        <v>61920</v>
      </c>
      <c r="K62" s="201">
        <f t="shared" si="8"/>
        <v>67331</v>
      </c>
      <c r="L62" s="150">
        <f t="shared" si="8"/>
        <v>51871.229999999996</v>
      </c>
      <c r="M62" s="149">
        <f>IF($D$4=$H$5,H62-L62,IF($D$4=$I$5,I62-L62,IF($D$4=$J$5,J62-L62,K62-L62)))</f>
        <v>15459.770000000004</v>
      </c>
      <c r="N62" s="151">
        <f>IF($D$4=$H$5,H62-G62,IF($D$4=$I$5,I62-G62,IF($D$4=$J$5,J62-G62,K62-G62)))</f>
        <v>20676</v>
      </c>
    </row>
    <row r="63" spans="1:14" x14ac:dyDescent="0.3">
      <c r="F63" s="179"/>
      <c r="G63" s="132"/>
      <c r="H63" s="198"/>
      <c r="I63" s="199"/>
      <c r="J63" s="199"/>
      <c r="K63" s="199"/>
      <c r="L63" s="132"/>
      <c r="M63" s="133"/>
      <c r="N63" s="147"/>
    </row>
    <row r="64" spans="1:14" ht="14" thickBot="1" x14ac:dyDescent="0.35">
      <c r="A64" s="1" t="s">
        <v>384</v>
      </c>
      <c r="F64" s="183"/>
      <c r="G64" s="138">
        <f t="shared" ref="G64:L64" si="9">+G55+G62</f>
        <v>48131</v>
      </c>
      <c r="H64" s="206">
        <f t="shared" si="9"/>
        <v>46888.32</v>
      </c>
      <c r="I64" s="207">
        <f t="shared" si="9"/>
        <v>47411</v>
      </c>
      <c r="J64" s="207">
        <f t="shared" si="9"/>
        <v>64850</v>
      </c>
      <c r="K64" s="356">
        <f t="shared" si="9"/>
        <v>71886</v>
      </c>
      <c r="L64" s="138">
        <f t="shared" si="9"/>
        <v>52721.229999999996</v>
      </c>
      <c r="M64" s="139">
        <f>IF($D$4=$H$5,H64-L64,IF($D$4=$I$5,I64-L64,IF($D$4=$J$5,J64-L64,K64-L64)))</f>
        <v>19164.770000000004</v>
      </c>
      <c r="N64" s="154">
        <f>IF($D$4=$H$5,H64-G64,IF($D$4=$I$5,I64-G64,IF($D$4=$J$5,J64-G64,K64-G64)))</f>
        <v>23755</v>
      </c>
    </row>
    <row r="65" spans="1:14" ht="14" thickTop="1" x14ac:dyDescent="0.3">
      <c r="F65" s="10"/>
      <c r="G65" s="129"/>
      <c r="H65" s="195"/>
      <c r="I65" s="195"/>
      <c r="J65" s="195"/>
      <c r="K65" s="195"/>
      <c r="L65" s="133"/>
      <c r="M65" s="129"/>
      <c r="N65" s="129"/>
    </row>
    <row r="66" spans="1:14" x14ac:dyDescent="0.3">
      <c r="A66" t="s">
        <v>405</v>
      </c>
      <c r="F66" s="10"/>
      <c r="G66" s="155">
        <f t="shared" ref="G66:N66" si="10">+G45-G64</f>
        <v>0</v>
      </c>
      <c r="H66" s="208">
        <f t="shared" si="10"/>
        <v>0</v>
      </c>
      <c r="I66" s="208">
        <f t="shared" si="10"/>
        <v>0</v>
      </c>
      <c r="J66" s="209">
        <f t="shared" si="10"/>
        <v>0</v>
      </c>
      <c r="K66" s="209">
        <f t="shared" si="10"/>
        <v>0</v>
      </c>
      <c r="L66" s="339">
        <f>+L45-L64</f>
        <v>0</v>
      </c>
      <c r="M66" s="339">
        <f>ROUND(+M45-M64,4)</f>
        <v>0</v>
      </c>
      <c r="N66" s="155">
        <f t="shared" si="10"/>
        <v>0</v>
      </c>
    </row>
    <row r="67" spans="1:14" x14ac:dyDescent="0.3">
      <c r="H67" s="189"/>
      <c r="I67" s="189"/>
      <c r="J67" s="189"/>
      <c r="K67" s="189"/>
      <c r="L67" s="340"/>
    </row>
    <row r="68" spans="1:14" x14ac:dyDescent="0.3">
      <c r="H68" s="189"/>
      <c r="I68" s="189"/>
      <c r="J68" s="189"/>
      <c r="K68" s="185"/>
    </row>
    <row r="69" spans="1:14" x14ac:dyDescent="0.3">
      <c r="H69" s="189"/>
      <c r="I69" s="189"/>
      <c r="J69" s="189"/>
      <c r="K69" s="189"/>
    </row>
    <row r="70" spans="1:14" x14ac:dyDescent="0.3">
      <c r="A70" s="1" t="s">
        <v>406</v>
      </c>
      <c r="F70" s="17"/>
      <c r="G70" s="17"/>
      <c r="H70" s="210"/>
      <c r="I70" s="210"/>
      <c r="J70" s="210"/>
      <c r="K70" s="210"/>
    </row>
    <row r="71" spans="1:14" x14ac:dyDescent="0.3">
      <c r="B71" t="s">
        <v>407</v>
      </c>
      <c r="F71" s="13">
        <v>3115</v>
      </c>
      <c r="G71" s="214">
        <v>7377</v>
      </c>
      <c r="H71" s="211">
        <v>12654.22</v>
      </c>
      <c r="I71" s="212">
        <v>12654</v>
      </c>
      <c r="J71" s="212">
        <v>12654</v>
      </c>
      <c r="K71" s="214">
        <v>12654</v>
      </c>
      <c r="L71" s="104"/>
    </row>
    <row r="72" spans="1:14" x14ac:dyDescent="0.3">
      <c r="B72" t="s">
        <v>408</v>
      </c>
      <c r="F72" s="4">
        <v>3116</v>
      </c>
      <c r="G72" s="214">
        <v>1000</v>
      </c>
      <c r="H72" s="211">
        <v>1047.05</v>
      </c>
      <c r="I72" s="212">
        <v>1047</v>
      </c>
      <c r="J72" s="212">
        <v>1047</v>
      </c>
      <c r="K72" s="214">
        <v>1047</v>
      </c>
      <c r="L72" s="127"/>
    </row>
    <row r="73" spans="1:14" x14ac:dyDescent="0.3">
      <c r="B73" t="s">
        <v>409</v>
      </c>
      <c r="F73" s="4">
        <v>3112</v>
      </c>
      <c r="G73" s="214">
        <v>8000</v>
      </c>
      <c r="H73" s="211">
        <v>3374.35</v>
      </c>
      <c r="I73" s="212">
        <v>3374</v>
      </c>
      <c r="J73" s="212">
        <v>3374</v>
      </c>
      <c r="K73" s="214">
        <v>3374</v>
      </c>
      <c r="L73" s="127"/>
    </row>
    <row r="74" spans="1:14" x14ac:dyDescent="0.3">
      <c r="B74" t="s">
        <v>353</v>
      </c>
      <c r="F74" s="4">
        <v>3113</v>
      </c>
      <c r="G74" s="214">
        <v>8881</v>
      </c>
      <c r="H74" s="211">
        <v>13095</v>
      </c>
      <c r="I74" s="212">
        <v>13095</v>
      </c>
      <c r="J74" s="212">
        <v>13095</v>
      </c>
      <c r="K74" s="214">
        <v>13095</v>
      </c>
      <c r="L74" s="127"/>
    </row>
    <row r="75" spans="1:14" x14ac:dyDescent="0.3">
      <c r="B75" t="s">
        <v>410</v>
      </c>
      <c r="F75" s="4">
        <v>3117</v>
      </c>
      <c r="G75" s="214"/>
      <c r="H75" s="211"/>
      <c r="I75" s="212"/>
      <c r="J75" s="212"/>
      <c r="K75" s="214"/>
      <c r="L75" s="127"/>
    </row>
    <row r="76" spans="1:14" x14ac:dyDescent="0.3">
      <c r="B76" t="s">
        <v>411</v>
      </c>
      <c r="F76" s="4">
        <v>3118</v>
      </c>
      <c r="G76" s="214"/>
      <c r="H76" s="211"/>
      <c r="I76" s="212"/>
      <c r="J76" s="212"/>
      <c r="K76" s="214"/>
      <c r="L76" s="127"/>
    </row>
    <row r="77" spans="1:14" x14ac:dyDescent="0.3">
      <c r="B77" t="s">
        <v>412</v>
      </c>
      <c r="F77" s="4">
        <v>3119</v>
      </c>
      <c r="G77" s="214">
        <v>624</v>
      </c>
      <c r="H77" s="211">
        <v>4018.56</v>
      </c>
      <c r="I77" s="212">
        <v>4658</v>
      </c>
      <c r="J77" s="212">
        <v>4658</v>
      </c>
      <c r="K77" s="214">
        <v>4658</v>
      </c>
      <c r="L77" s="127"/>
    </row>
    <row r="78" spans="1:14" x14ac:dyDescent="0.3">
      <c r="B78" t="s">
        <v>413</v>
      </c>
      <c r="F78" s="4">
        <v>3120</v>
      </c>
      <c r="G78" s="95"/>
      <c r="H78" s="211">
        <v>2271.42</v>
      </c>
      <c r="I78" s="212">
        <v>2271</v>
      </c>
      <c r="J78" s="212">
        <v>2271</v>
      </c>
      <c r="K78" s="214">
        <v>2271</v>
      </c>
      <c r="L78" s="127">
        <v>800</v>
      </c>
    </row>
    <row r="79" spans="1:14" x14ac:dyDescent="0.3">
      <c r="B79" t="s">
        <v>414</v>
      </c>
      <c r="F79" s="4">
        <v>3121</v>
      </c>
      <c r="G79" s="95"/>
      <c r="H79" s="211"/>
      <c r="I79" s="212"/>
      <c r="J79" s="212"/>
      <c r="K79" s="214"/>
      <c r="L79" s="127">
        <v>6400</v>
      </c>
    </row>
    <row r="80" spans="1:14" x14ac:dyDescent="0.3">
      <c r="B80" t="s">
        <v>415</v>
      </c>
      <c r="F80" s="4">
        <v>3122</v>
      </c>
      <c r="G80" s="95"/>
      <c r="H80" s="211"/>
      <c r="I80" s="212"/>
      <c r="J80" s="212"/>
      <c r="K80" s="214"/>
      <c r="L80" s="127">
        <v>7500</v>
      </c>
    </row>
    <row r="81" spans="2:12" x14ac:dyDescent="0.3">
      <c r="B81" t="s">
        <v>416</v>
      </c>
      <c r="F81" s="4">
        <v>3123</v>
      </c>
      <c r="G81" s="95"/>
      <c r="H81" s="211">
        <v>778.83</v>
      </c>
      <c r="I81" s="212">
        <v>779</v>
      </c>
      <c r="J81" s="212">
        <v>779</v>
      </c>
      <c r="K81" s="214">
        <v>779</v>
      </c>
      <c r="L81" s="127">
        <v>5000</v>
      </c>
    </row>
    <row r="82" spans="2:12" x14ac:dyDescent="0.3">
      <c r="F82" s="4"/>
      <c r="G82" s="95"/>
      <c r="H82" s="211"/>
      <c r="I82" s="212"/>
      <c r="J82" s="212"/>
      <c r="K82" s="214"/>
      <c r="L82" s="127"/>
    </row>
    <row r="83" spans="2:12" x14ac:dyDescent="0.3">
      <c r="F83" s="97"/>
      <c r="G83" s="95"/>
      <c r="H83" s="211"/>
      <c r="I83" s="212"/>
      <c r="J83" s="212"/>
      <c r="K83" s="214"/>
      <c r="L83" s="127"/>
    </row>
    <row r="84" spans="2:12" ht="14" thickBot="1" x14ac:dyDescent="0.35">
      <c r="B84" s="1" t="s">
        <v>269</v>
      </c>
      <c r="F84" s="98"/>
      <c r="G84" s="103">
        <f t="shared" ref="G84:L84" si="11">SUM(G71:G83)</f>
        <v>25882</v>
      </c>
      <c r="H84" s="215">
        <f t="shared" si="11"/>
        <v>37239.43</v>
      </c>
      <c r="I84" s="216">
        <f t="shared" si="11"/>
        <v>37878</v>
      </c>
      <c r="J84" s="216">
        <f t="shared" si="11"/>
        <v>37878</v>
      </c>
      <c r="K84" s="217">
        <f t="shared" si="11"/>
        <v>37878</v>
      </c>
      <c r="L84" s="128">
        <f t="shared" si="11"/>
        <v>19700</v>
      </c>
    </row>
    <row r="85" spans="2:12" ht="14" thickTop="1" x14ac:dyDescent="0.3"/>
  </sheetData>
  <phoneticPr fontId="3" type="noConversion"/>
  <pageMargins left="0.75" right="0.75" top="1" bottom="1" header="0.5" footer="0.5"/>
  <pageSetup scale="52" orientation="landscape" horizontalDpi="4294967292" verticalDpi="4294967292"/>
  <headerFooter alignWithMargins="0">
    <oddFooter>&amp;L&amp;F&amp;C&amp;D&amp;R&amp;A</oddFooter>
  </headerFooter>
  <rowBreaks count="1" manualBreakCount="1">
    <brk id="6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indexed="14"/>
    <pageSetUpPr fitToPage="1"/>
  </sheetPr>
  <dimension ref="A1:P31"/>
  <sheetViews>
    <sheetView zoomScaleNormal="100" workbookViewId="0"/>
  </sheetViews>
  <sheetFormatPr defaultColWidth="11.07421875" defaultRowHeight="13.5" x14ac:dyDescent="0.3"/>
  <cols>
    <col min="1" max="1" width="5.69140625" customWidth="1"/>
    <col min="2" max="2" width="5.07421875" customWidth="1"/>
    <col min="3" max="3" width="4.61328125" customWidth="1"/>
    <col min="4" max="4" width="4.3828125" customWidth="1"/>
    <col min="5" max="5" width="4.69140625" customWidth="1"/>
    <col min="6" max="6" width="7.61328125" customWidth="1"/>
    <col min="7" max="7" width="12" customWidth="1"/>
    <col min="10" max="10" width="12.921875" customWidth="1"/>
    <col min="12" max="12" width="12" customWidth="1"/>
    <col min="13" max="13" width="12.07421875" customWidth="1"/>
  </cols>
  <sheetData>
    <row r="1" spans="1:15" ht="15" x14ac:dyDescent="0.3">
      <c r="A1" s="2" t="s">
        <v>193</v>
      </c>
    </row>
    <row r="2" spans="1:15" x14ac:dyDescent="0.3">
      <c r="A2" s="21" t="s">
        <v>225</v>
      </c>
    </row>
    <row r="3" spans="1:15" ht="14" thickBot="1" x14ac:dyDescent="0.35">
      <c r="A3" s="1" t="s">
        <v>272</v>
      </c>
      <c r="H3">
        <v>1</v>
      </c>
      <c r="I3">
        <v>2</v>
      </c>
      <c r="J3">
        <v>3</v>
      </c>
      <c r="K3">
        <v>4</v>
      </c>
    </row>
    <row r="4" spans="1:15" ht="14" thickBot="1" x14ac:dyDescent="0.35">
      <c r="A4" s="1" t="s">
        <v>35</v>
      </c>
      <c r="E4" s="36">
        <v>4</v>
      </c>
      <c r="G4" s="159" t="s">
        <v>30</v>
      </c>
      <c r="H4" s="9" t="s">
        <v>139</v>
      </c>
      <c r="I4" s="7" t="s">
        <v>139</v>
      </c>
      <c r="J4" s="7" t="s">
        <v>139</v>
      </c>
      <c r="K4" s="7" t="s">
        <v>139</v>
      </c>
      <c r="L4" s="171" t="s">
        <v>30</v>
      </c>
      <c r="M4" s="121" t="s">
        <v>20</v>
      </c>
      <c r="N4" s="172" t="s">
        <v>140</v>
      </c>
      <c r="O4" s="161" t="s">
        <v>141</v>
      </c>
    </row>
    <row r="5" spans="1:15" x14ac:dyDescent="0.3">
      <c r="G5" s="158">
        <v>40632</v>
      </c>
      <c r="H5" s="167">
        <v>40723</v>
      </c>
      <c r="I5" s="168">
        <v>40815</v>
      </c>
      <c r="J5" s="168">
        <v>40907</v>
      </c>
      <c r="K5" s="8">
        <v>40998</v>
      </c>
      <c r="L5" s="122" t="s">
        <v>433</v>
      </c>
      <c r="M5" s="118" t="s">
        <v>433</v>
      </c>
      <c r="N5" s="173" t="s">
        <v>20</v>
      </c>
      <c r="O5" s="163" t="s">
        <v>128</v>
      </c>
    </row>
    <row r="6" spans="1:15" x14ac:dyDescent="0.3">
      <c r="G6" s="18"/>
      <c r="L6" s="18"/>
      <c r="M6" s="18"/>
      <c r="O6" s="19"/>
    </row>
    <row r="7" spans="1:15" x14ac:dyDescent="0.3">
      <c r="A7" s="1" t="s">
        <v>61</v>
      </c>
      <c r="G7" s="108">
        <v>71068.289999999994</v>
      </c>
      <c r="H7" s="109">
        <f>G25</f>
        <v>48131.229999999996</v>
      </c>
      <c r="I7" s="109">
        <f>H25</f>
        <v>46887.95</v>
      </c>
      <c r="J7" s="109">
        <f>I25</f>
        <v>47411.229999999996</v>
      </c>
      <c r="K7" s="109">
        <f>J25</f>
        <v>64850.229999999996</v>
      </c>
      <c r="L7" s="108">
        <f>G25</f>
        <v>48131.229999999996</v>
      </c>
      <c r="M7" s="108">
        <f>+L7</f>
        <v>48131.229999999996</v>
      </c>
      <c r="N7" s="109">
        <f>L7-M7</f>
        <v>0</v>
      </c>
      <c r="O7" s="110">
        <f>L7-G7</f>
        <v>-22937.059999999998</v>
      </c>
    </row>
    <row r="8" spans="1:15" x14ac:dyDescent="0.3">
      <c r="G8" s="88"/>
      <c r="H8" s="89"/>
      <c r="I8" s="89"/>
      <c r="J8" s="89"/>
      <c r="K8" s="89"/>
      <c r="L8" s="88"/>
      <c r="M8" s="88"/>
      <c r="N8" s="89"/>
      <c r="O8" s="90"/>
    </row>
    <row r="9" spans="1:15" x14ac:dyDescent="0.3">
      <c r="A9" s="1" t="s">
        <v>65</v>
      </c>
      <c r="G9" s="91">
        <v>14290</v>
      </c>
      <c r="H9" s="92">
        <f>+'ESL Inc Stmt'!L88</f>
        <v>-1217.8100000000004</v>
      </c>
      <c r="I9" s="92">
        <f>+'ESL Inc Stmt'!M88</f>
        <v>8266.8100000000013</v>
      </c>
      <c r="J9" s="92">
        <f>+'ESL Inc Stmt'!N88</f>
        <v>7587</v>
      </c>
      <c r="K9" s="92">
        <f>+'ESL Inc Stmt'!O88</f>
        <v>5411</v>
      </c>
      <c r="L9" s="91">
        <f>SUM(H9:K9)</f>
        <v>20047</v>
      </c>
      <c r="M9" s="91">
        <f>'ESL Inc Stmt'!Q88</f>
        <v>15090</v>
      </c>
      <c r="N9" s="92">
        <f>L9-M9</f>
        <v>4957</v>
      </c>
      <c r="O9" s="93">
        <f>L9-G9</f>
        <v>5757</v>
      </c>
    </row>
    <row r="10" spans="1:15" x14ac:dyDescent="0.3">
      <c r="G10" s="94"/>
      <c r="H10" s="95"/>
      <c r="I10" s="95"/>
      <c r="J10" s="95"/>
      <c r="K10" s="95"/>
      <c r="L10" s="94"/>
      <c r="M10" s="94"/>
      <c r="N10" s="95"/>
      <c r="O10" s="96"/>
    </row>
    <row r="11" spans="1:15" x14ac:dyDescent="0.3">
      <c r="A11" s="1" t="s">
        <v>66</v>
      </c>
      <c r="G11" s="91">
        <v>-44407.06</v>
      </c>
      <c r="H11" s="92">
        <f>-'ESL Inc Stmt'!L132</f>
        <v>0</v>
      </c>
      <c r="I11" s="92">
        <f>-'ESL Inc Stmt'!M132</f>
        <v>-8676</v>
      </c>
      <c r="J11" s="92">
        <f>-'ESL Inc Stmt'!N132</f>
        <v>0</v>
      </c>
      <c r="K11" s="92">
        <f>-'ESL Inc Stmt'!O132</f>
        <v>0</v>
      </c>
      <c r="L11" s="91">
        <f>SUM(H11:K11)</f>
        <v>-8676</v>
      </c>
      <c r="M11" s="91">
        <f>-'ESL Bal Sheet'!L58</f>
        <v>-19700</v>
      </c>
      <c r="N11" s="92">
        <f>L11-M11</f>
        <v>11024</v>
      </c>
      <c r="O11" s="93">
        <f>L11-G11</f>
        <v>35731.06</v>
      </c>
    </row>
    <row r="12" spans="1:15" x14ac:dyDescent="0.3">
      <c r="G12" s="94"/>
      <c r="H12" s="95"/>
      <c r="I12" s="95"/>
      <c r="J12" s="95"/>
      <c r="K12" s="95"/>
      <c r="L12" s="94"/>
      <c r="M12" s="94"/>
      <c r="N12" s="95"/>
      <c r="O12" s="96"/>
    </row>
    <row r="13" spans="1:15" x14ac:dyDescent="0.3">
      <c r="A13" s="1" t="s">
        <v>63</v>
      </c>
      <c r="G13" s="91">
        <v>-1961</v>
      </c>
      <c r="H13" s="92">
        <f>IF(E4=1,'ESL Bal Sheet'!H55-'ESL Bal Sheet'!G55,'ESL Bal Sheet'!H55-'ESL Bal Sheet'!G55)</f>
        <v>-25.470000000000027</v>
      </c>
      <c r="I13" s="92">
        <f>IF($E$4=2,'ESL Bal Sheet'!I55-'ESL Bal Sheet'!H55,IF(E4=3,'ESL Bal Sheet'!I55-'ESL Bal Sheet'!H55,IF(E4=4,'ESL Bal Sheet'!I55-'ESL Bal Sheet'!H55,0)))</f>
        <v>932.47</v>
      </c>
      <c r="J13" s="92">
        <f>IF($E$4=3,'ESL Bal Sheet'!J55-'ESL Bal Sheet'!I55,IF(E4=4,'ESL Bal Sheet'!J55-'ESL Bal Sheet'!I55,0))</f>
        <v>547</v>
      </c>
      <c r="K13" s="92">
        <f>IF($E$4=4,'ESL Bal Sheet'!K55-'ESL Bal Sheet'!J55,0)</f>
        <v>1625</v>
      </c>
      <c r="L13" s="91">
        <f>SUM(H13:K13)</f>
        <v>3079</v>
      </c>
      <c r="M13" s="91">
        <v>0</v>
      </c>
      <c r="N13" s="92">
        <f>L13-M13</f>
        <v>3079</v>
      </c>
      <c r="O13" s="93">
        <f>L13-G13</f>
        <v>5040</v>
      </c>
    </row>
    <row r="14" spans="1:15" x14ac:dyDescent="0.3">
      <c r="G14" s="94"/>
      <c r="H14" s="89"/>
      <c r="I14" s="89"/>
      <c r="J14" s="89"/>
      <c r="K14" s="95"/>
      <c r="L14" s="94"/>
      <c r="M14" s="94"/>
      <c r="N14" s="95"/>
      <c r="O14" s="96"/>
    </row>
    <row r="15" spans="1:15" x14ac:dyDescent="0.3">
      <c r="G15" s="94"/>
      <c r="H15" s="95"/>
      <c r="I15" s="95"/>
      <c r="J15" s="95"/>
      <c r="K15" s="95"/>
      <c r="L15" s="94"/>
      <c r="M15" s="94"/>
      <c r="N15" s="95"/>
      <c r="O15" s="96"/>
    </row>
    <row r="16" spans="1:15" x14ac:dyDescent="0.3">
      <c r="A16" s="1" t="s">
        <v>64</v>
      </c>
      <c r="G16" s="91">
        <v>0</v>
      </c>
      <c r="H16" s="92">
        <f>IF(E7=1,'ESL Bal Sheet'!H43-'ESL Bal Sheet'!G43,'ESL Bal Sheet'!H43-'ESL Bal Sheet'!G43)</f>
        <v>0</v>
      </c>
      <c r="I16" s="92">
        <f>IF($E$4=2,'ESL Bal Sheet'!I43-'ESL Bal Sheet'!H43,IF(E7=3,'ESL Bal Sheet'!I43-'ESL Bal Sheet'!H43,IF(E7=4,'ESL Bal Sheet'!I43-'ESL Bal Sheet'!H43,0)))</f>
        <v>0</v>
      </c>
      <c r="J16" s="92">
        <f>IF($E$4=3,'ESL Bal Sheet'!J43-'ESL Bal Sheet'!I43,IF(E7=4,'ESL Bal Sheet'!J43-'ESL Bal Sheet'!I43,0))</f>
        <v>0</v>
      </c>
      <c r="K16" s="92">
        <f>IF($E$4=4,'ESL Bal Sheet'!K43-'ESL Bal Sheet'!J43,0)</f>
        <v>0</v>
      </c>
      <c r="L16" s="91">
        <f>SUM(H16:K16)</f>
        <v>0</v>
      </c>
      <c r="M16" s="91">
        <v>0</v>
      </c>
      <c r="N16" s="92">
        <f>L16-M16</f>
        <v>0</v>
      </c>
      <c r="O16" s="93">
        <f>L16-G16</f>
        <v>0</v>
      </c>
    </row>
    <row r="17" spans="1:16" x14ac:dyDescent="0.3">
      <c r="G17" s="94"/>
      <c r="H17" s="95"/>
      <c r="I17" s="95"/>
      <c r="J17" s="95"/>
      <c r="K17" s="95"/>
      <c r="L17" s="94"/>
      <c r="M17" s="94"/>
      <c r="N17" s="95"/>
      <c r="O17" s="96"/>
    </row>
    <row r="18" spans="1:16" x14ac:dyDescent="0.3">
      <c r="A18" s="1" t="s">
        <v>67</v>
      </c>
      <c r="G18" s="94"/>
      <c r="H18" s="95"/>
      <c r="I18" s="95"/>
      <c r="J18" s="95"/>
      <c r="K18" s="95"/>
      <c r="L18" s="94"/>
      <c r="M18" s="94"/>
      <c r="N18" s="95"/>
      <c r="O18" s="96"/>
    </row>
    <row r="19" spans="1:16" x14ac:dyDescent="0.3">
      <c r="B19" t="s">
        <v>27</v>
      </c>
      <c r="G19" s="94">
        <v>0</v>
      </c>
      <c r="H19" s="95"/>
      <c r="I19" s="95"/>
      <c r="J19" s="95"/>
      <c r="K19" s="95"/>
      <c r="L19" s="94">
        <f>SUM(H19:K19)</f>
        <v>0</v>
      </c>
      <c r="M19" s="94"/>
      <c r="N19" s="95">
        <f>L19-M19</f>
        <v>0</v>
      </c>
      <c r="O19" s="96">
        <f>L19-G19</f>
        <v>0</v>
      </c>
    </row>
    <row r="20" spans="1:16" x14ac:dyDescent="0.3">
      <c r="B20" t="s">
        <v>58</v>
      </c>
      <c r="G20" s="94">
        <v>0</v>
      </c>
      <c r="H20" s="95"/>
      <c r="I20" s="95"/>
      <c r="J20" s="95"/>
      <c r="K20" s="95"/>
      <c r="L20" s="94">
        <f>SUM(H20:K20)</f>
        <v>0</v>
      </c>
      <c r="M20" s="94"/>
      <c r="N20" s="95">
        <f>L20-M20</f>
        <v>0</v>
      </c>
      <c r="O20" s="96">
        <f>L20-G20</f>
        <v>0</v>
      </c>
    </row>
    <row r="21" spans="1:16" x14ac:dyDescent="0.3">
      <c r="B21" t="s">
        <v>59</v>
      </c>
      <c r="G21" s="94">
        <v>9141</v>
      </c>
      <c r="H21" s="95">
        <f>+'ESL Inc Stmt'!L100</f>
        <v>0</v>
      </c>
      <c r="I21" s="95">
        <f>+'ESL Inc Stmt'!M100</f>
        <v>0</v>
      </c>
      <c r="J21" s="95">
        <f>+'ESL Inc Stmt'!N100</f>
        <v>9305</v>
      </c>
      <c r="K21" s="95">
        <f>+'ESL Inc Stmt'!O100</f>
        <v>0</v>
      </c>
      <c r="L21" s="94">
        <f>SUM(H21:K21)</f>
        <v>9305</v>
      </c>
      <c r="M21" s="94">
        <f>-'CAC Inc Stmt'!Q100</f>
        <v>9200</v>
      </c>
      <c r="N21" s="95">
        <f>L21-M21</f>
        <v>105</v>
      </c>
      <c r="O21" s="96">
        <f>L21-G21</f>
        <v>164</v>
      </c>
    </row>
    <row r="22" spans="1:16" x14ac:dyDescent="0.3">
      <c r="G22" s="94"/>
      <c r="H22" s="95"/>
      <c r="I22" s="95"/>
      <c r="J22" s="95"/>
      <c r="K22" s="95"/>
      <c r="L22" s="94"/>
      <c r="M22" s="94"/>
      <c r="N22" s="95"/>
      <c r="O22" s="96"/>
    </row>
    <row r="23" spans="1:16" x14ac:dyDescent="0.3">
      <c r="B23" s="1" t="s">
        <v>60</v>
      </c>
      <c r="G23" s="91">
        <f t="shared" ref="G23:M23" si="0">SUM(G19:G21)</f>
        <v>9141</v>
      </c>
      <c r="H23" s="92">
        <f t="shared" si="0"/>
        <v>0</v>
      </c>
      <c r="I23" s="92">
        <f t="shared" si="0"/>
        <v>0</v>
      </c>
      <c r="J23" s="92">
        <f t="shared" si="0"/>
        <v>9305</v>
      </c>
      <c r="K23" s="92">
        <f t="shared" si="0"/>
        <v>0</v>
      </c>
      <c r="L23" s="91">
        <f t="shared" si="0"/>
        <v>9305</v>
      </c>
      <c r="M23" s="91">
        <f t="shared" si="0"/>
        <v>9200</v>
      </c>
      <c r="N23" s="92">
        <f>L23-M23</f>
        <v>105</v>
      </c>
      <c r="O23" s="93">
        <f>L23-G23</f>
        <v>164</v>
      </c>
    </row>
    <row r="24" spans="1:16" x14ac:dyDescent="0.3">
      <c r="G24" s="184"/>
      <c r="H24" s="89"/>
      <c r="I24" s="89"/>
      <c r="J24" s="89"/>
      <c r="K24" s="89"/>
      <c r="L24" s="184"/>
      <c r="M24" s="184"/>
      <c r="N24" s="89"/>
      <c r="O24" s="90"/>
    </row>
    <row r="25" spans="1:16" ht="14" thickBot="1" x14ac:dyDescent="0.35">
      <c r="A25" s="1" t="s">
        <v>62</v>
      </c>
      <c r="G25" s="111">
        <f t="shared" ref="G25:M25" si="1">+G7+G9+G11+G13+G16+G23</f>
        <v>48131.229999999996</v>
      </c>
      <c r="H25" s="112">
        <f t="shared" si="1"/>
        <v>46887.95</v>
      </c>
      <c r="I25" s="112">
        <f t="shared" si="1"/>
        <v>47411.229999999996</v>
      </c>
      <c r="J25" s="112">
        <f t="shared" si="1"/>
        <v>64850.229999999996</v>
      </c>
      <c r="K25" s="112">
        <f t="shared" si="1"/>
        <v>71886.23</v>
      </c>
      <c r="L25" s="111">
        <f t="shared" si="1"/>
        <v>71886.23</v>
      </c>
      <c r="M25" s="111">
        <f t="shared" si="1"/>
        <v>52721.229999999996</v>
      </c>
      <c r="N25" s="112">
        <f>L25-M25</f>
        <v>19165</v>
      </c>
      <c r="O25" s="113">
        <f>L25-G25</f>
        <v>23755</v>
      </c>
    </row>
    <row r="26" spans="1:16" ht="14" thickTop="1" x14ac:dyDescent="0.3">
      <c r="G26" s="95"/>
      <c r="H26" s="95"/>
      <c r="I26" s="95"/>
      <c r="J26" s="95"/>
      <c r="K26" s="95"/>
      <c r="L26" s="95"/>
      <c r="M26" s="95"/>
      <c r="N26" s="95"/>
      <c r="O26" s="95"/>
    </row>
    <row r="27" spans="1:16" x14ac:dyDescent="0.3">
      <c r="G27" s="95"/>
      <c r="H27" s="95"/>
      <c r="I27" s="95"/>
      <c r="J27" s="95"/>
      <c r="K27" s="95"/>
      <c r="L27" s="95"/>
      <c r="M27" s="95"/>
      <c r="N27" s="95"/>
      <c r="O27" s="95"/>
    </row>
    <row r="28" spans="1:16" x14ac:dyDescent="0.3">
      <c r="A28" t="s">
        <v>71</v>
      </c>
      <c r="G28" s="89"/>
      <c r="H28" s="89"/>
      <c r="I28" s="89"/>
      <c r="J28" s="89"/>
      <c r="K28" s="89"/>
      <c r="L28" s="89"/>
      <c r="M28" s="89"/>
      <c r="N28" s="89"/>
      <c r="O28" s="89"/>
    </row>
    <row r="29" spans="1:16" x14ac:dyDescent="0.3">
      <c r="B29" t="s">
        <v>72</v>
      </c>
      <c r="G29" s="95">
        <f>+'ESL Bal Sheet'!G22</f>
        <v>48131</v>
      </c>
      <c r="H29" s="95">
        <f>+'ESL Bal Sheet'!H31</f>
        <v>46888.32</v>
      </c>
      <c r="I29" s="95">
        <f>+'ESL Bal Sheet'!I31</f>
        <v>47411</v>
      </c>
      <c r="J29" s="95">
        <f>+'ESL Bal Sheet'!J31</f>
        <v>64850</v>
      </c>
      <c r="K29" s="95">
        <f>+'ESL Bal Sheet'!K31</f>
        <v>71886</v>
      </c>
      <c r="L29" s="95">
        <f>+K29</f>
        <v>71886</v>
      </c>
      <c r="M29" s="95">
        <f>'ESL Bal Sheet'!L22</f>
        <v>52721.23</v>
      </c>
      <c r="N29" s="95"/>
      <c r="O29" s="95"/>
    </row>
    <row r="30" spans="1:16" ht="14" thickBot="1" x14ac:dyDescent="0.35">
      <c r="B30" t="s">
        <v>73</v>
      </c>
      <c r="G30" s="107">
        <f t="shared" ref="G30:M30" si="2">+G25-G29</f>
        <v>0.22999999999592546</v>
      </c>
      <c r="H30" s="107">
        <f t="shared" si="2"/>
        <v>-0.37000000000261934</v>
      </c>
      <c r="I30" s="107">
        <f t="shared" si="2"/>
        <v>0.22999999999592546</v>
      </c>
      <c r="J30" s="107">
        <f t="shared" si="2"/>
        <v>0.22999999999592546</v>
      </c>
      <c r="K30" s="107">
        <f t="shared" si="2"/>
        <v>0.22999999999592546</v>
      </c>
      <c r="L30" s="107">
        <f t="shared" si="2"/>
        <v>0.22999999999592546</v>
      </c>
      <c r="M30" s="107">
        <f t="shared" si="2"/>
        <v>0</v>
      </c>
      <c r="N30" s="89"/>
      <c r="O30" s="89"/>
      <c r="P30" s="89"/>
    </row>
    <row r="31" spans="1:16" ht="14" thickTop="1" x14ac:dyDescent="0.3"/>
  </sheetData>
  <sheetProtection algorithmName="SHA-512" hashValue="Y8AVMjNOQ6fFxy6oAZ/3bzi4oFhyIVYjG/CM2WBHiT1taYWuDz5zLbaBZetWzOz8rPSLLrxMwEFh21Wvmevazg==" saltValue="y25W3FQqlMzrnqt4s2KW2g==" spinCount="100000" sheet="1"/>
  <phoneticPr fontId="3" type="noConversion"/>
  <pageMargins left="0.75" right="0.75" top="1" bottom="1" header="0.5" footer="0.5"/>
  <pageSetup scale="73" orientation="landscape" horizontalDpi="4294967292" verticalDpi="4294967292"/>
  <headerFooter alignWithMargins="0">
    <oddFooter>&amp;L&amp;F&amp;C&amp;D&amp;R&amp;A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27"/>
    <pageSetUpPr fitToPage="1"/>
  </sheetPr>
  <dimension ref="A1:P85"/>
  <sheetViews>
    <sheetView zoomScaleNormal="100" workbookViewId="0">
      <pane xSplit="5" ySplit="7" topLeftCell="F8" activePane="bottomRight" state="frozen"/>
      <selection activeCell="E141" sqref="E141"/>
      <selection pane="topRight" activeCell="E141" sqref="E141"/>
      <selection pane="bottomLeft" activeCell="E141" sqref="E141"/>
      <selection pane="bottomRight" activeCell="F8" sqref="F8"/>
    </sheetView>
  </sheetViews>
  <sheetFormatPr defaultColWidth="11.07421875" defaultRowHeight="13.5" outlineLevelRow="1" x14ac:dyDescent="0.3"/>
  <cols>
    <col min="1" max="1" width="5.921875" customWidth="1"/>
    <col min="2" max="2" width="6.3828125" customWidth="1"/>
    <col min="3" max="3" width="4.07421875" customWidth="1"/>
    <col min="4" max="4" width="3.921875" customWidth="1"/>
    <col min="5" max="5" width="10.07421875" customWidth="1"/>
    <col min="6" max="6" width="8.921875" customWidth="1"/>
    <col min="7" max="7" width="12.3828125" customWidth="1"/>
    <col min="10" max="10" width="13.07421875" customWidth="1"/>
    <col min="12" max="12" width="12" customWidth="1"/>
  </cols>
  <sheetData>
    <row r="1" spans="1:16" ht="15" x14ac:dyDescent="0.3">
      <c r="A1" s="2" t="s">
        <v>193</v>
      </c>
    </row>
    <row r="2" spans="1:16" x14ac:dyDescent="0.3">
      <c r="A2" s="21" t="s">
        <v>84</v>
      </c>
    </row>
    <row r="3" spans="1:16" ht="15.5" thickBot="1" x14ac:dyDescent="0.35">
      <c r="A3" s="2" t="s">
        <v>202</v>
      </c>
    </row>
    <row r="4" spans="1:16" ht="14" thickBot="1" x14ac:dyDescent="0.35">
      <c r="A4" s="1" t="s">
        <v>35</v>
      </c>
      <c r="D4" s="36">
        <v>4</v>
      </c>
    </row>
    <row r="5" spans="1:16" x14ac:dyDescent="0.3">
      <c r="G5" t="s">
        <v>89</v>
      </c>
      <c r="H5">
        <v>1</v>
      </c>
      <c r="I5">
        <v>2</v>
      </c>
      <c r="J5">
        <v>3</v>
      </c>
      <c r="K5">
        <v>4</v>
      </c>
    </row>
    <row r="6" spans="1:16" ht="15" x14ac:dyDescent="0.3">
      <c r="A6" s="2"/>
      <c r="F6" s="180" t="s">
        <v>217</v>
      </c>
      <c r="G6" s="157" t="s">
        <v>80</v>
      </c>
      <c r="H6" s="130" t="s">
        <v>139</v>
      </c>
      <c r="I6" s="131" t="s">
        <v>139</v>
      </c>
      <c r="J6" s="131" t="s">
        <v>139</v>
      </c>
      <c r="K6" s="164" t="s">
        <v>80</v>
      </c>
      <c r="L6" s="142" t="s">
        <v>20</v>
      </c>
      <c r="M6" s="165" t="s">
        <v>140</v>
      </c>
      <c r="N6" s="166" t="s">
        <v>141</v>
      </c>
    </row>
    <row r="7" spans="1:16" x14ac:dyDescent="0.3">
      <c r="F7" s="181" t="s">
        <v>218</v>
      </c>
      <c r="G7" s="158">
        <v>40632</v>
      </c>
      <c r="H7" s="167">
        <v>40723</v>
      </c>
      <c r="I7" s="168">
        <v>40815</v>
      </c>
      <c r="J7" s="168">
        <v>40907</v>
      </c>
      <c r="K7" s="160">
        <v>40998</v>
      </c>
      <c r="L7" s="169" t="s">
        <v>433</v>
      </c>
      <c r="M7" s="162" t="s">
        <v>20</v>
      </c>
      <c r="N7" s="163" t="s">
        <v>128</v>
      </c>
    </row>
    <row r="8" spans="1:16" x14ac:dyDescent="0.3">
      <c r="A8" s="1" t="s">
        <v>151</v>
      </c>
      <c r="F8" s="15"/>
      <c r="G8" s="22"/>
      <c r="H8" s="37"/>
      <c r="I8" s="22"/>
      <c r="J8" s="22"/>
      <c r="K8" s="22"/>
      <c r="L8" s="38"/>
      <c r="M8" s="22"/>
      <c r="N8" s="39"/>
    </row>
    <row r="9" spans="1:16" x14ac:dyDescent="0.3">
      <c r="F9" s="14"/>
      <c r="G9" s="30"/>
      <c r="H9" s="31"/>
      <c r="I9" s="30"/>
      <c r="J9" s="30"/>
      <c r="K9" s="30"/>
      <c r="L9" s="32"/>
      <c r="M9" s="30"/>
      <c r="N9" s="33"/>
    </row>
    <row r="10" spans="1:16" x14ac:dyDescent="0.3">
      <c r="B10" t="s">
        <v>240</v>
      </c>
      <c r="F10" s="14"/>
      <c r="G10" s="22">
        <f>+'CAC Bal Sheet'!G10+'AL Bal Sheet'!G10+'ESL Bal Sheet'!G10</f>
        <v>58320.61</v>
      </c>
      <c r="H10" s="23">
        <f>+'CAC Bal Sheet'!H10+'AL Bal Sheet'!H10+'ESL Bal Sheet'!H10</f>
        <v>50325.72</v>
      </c>
      <c r="I10" s="22">
        <f>+'CAC Bal Sheet'!I10+'AL Bal Sheet'!I10+'ESL Bal Sheet'!I10</f>
        <v>24105.439999999999</v>
      </c>
      <c r="J10" s="22">
        <f>+'CAC Bal Sheet'!J10+'AL Bal Sheet'!J10+'ESL Bal Sheet'!J10</f>
        <v>28449.39</v>
      </c>
      <c r="K10" s="22">
        <f>+'CAC Bal Sheet'!K10+'AL Bal Sheet'!K10+'ESL Bal Sheet'!K10</f>
        <v>44974.37</v>
      </c>
      <c r="L10" s="24">
        <f>+'CAC Bal Sheet'!L10+'AL Bal Sheet'!L10+'ESL Bal Sheet'!L10</f>
        <v>55174</v>
      </c>
      <c r="M10" s="22">
        <f>IF($D$4=$H$5,H10-L10,IF($D$4=$I$5,I10-L10,IF($D$4=$J$5,J10-L10,K10-L10)))</f>
        <v>-10199.629999999997</v>
      </c>
      <c r="N10" s="25">
        <f>IF($D$4=$H$5,H10-G10,IF($D$4=$I$5,I10-G10,IF($D$4=$J$5,J10-G10,K10-G10)))</f>
        <v>-13346.239999999998</v>
      </c>
    </row>
    <row r="11" spans="1:16" x14ac:dyDescent="0.3">
      <c r="B11" t="s">
        <v>357</v>
      </c>
      <c r="F11" s="14"/>
      <c r="G11" s="22">
        <f>+'CAC Bal Sheet'!G11+'AL Bal Sheet'!G11+'ESL Bal Sheet'!G11</f>
        <v>50066.67</v>
      </c>
      <c r="H11" s="23">
        <f>+'CAC Bal Sheet'!H11+'AL Bal Sheet'!H11+'ESL Bal Sheet'!H11</f>
        <v>60070.879999999997</v>
      </c>
      <c r="I11" s="22">
        <f>+'CAC Bal Sheet'!I11+'AL Bal Sheet'!I11+'ESL Bal Sheet'!I11</f>
        <v>60075.42</v>
      </c>
      <c r="J11" s="22">
        <f>+'CAC Bal Sheet'!J11+'AL Bal Sheet'!J11+'ESL Bal Sheet'!J11</f>
        <v>60079.96</v>
      </c>
      <c r="K11" s="22">
        <f>+'CAC Bal Sheet'!K11+'AL Bal Sheet'!K11+'ESL Bal Sheet'!K11</f>
        <v>60084.46</v>
      </c>
      <c r="L11" s="24">
        <f>+'CAC Bal Sheet'!L11+'AL Bal Sheet'!L11+'ESL Bal Sheet'!L11</f>
        <v>60100</v>
      </c>
      <c r="M11" s="22">
        <f>IF($D$4=$H$5,H11-L11,IF($D$4=$I$5,I11-L11,IF($D$4=$J$5,J11-L11,K11-L11)))</f>
        <v>-15.540000000000873</v>
      </c>
      <c r="N11" s="25">
        <f>IF($D$4=$H$5,H11-G11,IF($D$4=$I$5,I11-G11,IF($D$4=$J$5,J11-G11,K11-G11)))</f>
        <v>10017.790000000001</v>
      </c>
    </row>
    <row r="12" spans="1:16" x14ac:dyDescent="0.3">
      <c r="B12" t="s">
        <v>87</v>
      </c>
      <c r="F12" s="14"/>
      <c r="G12" s="22">
        <f>+'CAC Bal Sheet'!G12+'AL Bal Sheet'!G12+'ESL Bal Sheet'!G12</f>
        <v>0</v>
      </c>
      <c r="H12" s="23">
        <f>+'CAC Bal Sheet'!H12+'AL Bal Sheet'!H12+'ESL Bal Sheet'!H12</f>
        <v>0</v>
      </c>
      <c r="I12" s="22">
        <f>+'CAC Bal Sheet'!I12+'AL Bal Sheet'!I12+'ESL Bal Sheet'!I12</f>
        <v>0</v>
      </c>
      <c r="J12" s="22">
        <f>+'CAC Bal Sheet'!J12+'AL Bal Sheet'!J12+'ESL Bal Sheet'!J12</f>
        <v>0</v>
      </c>
      <c r="K12" s="22">
        <f>+'CAC Bal Sheet'!K12+'AL Bal Sheet'!K12+'ESL Bal Sheet'!K12</f>
        <v>0</v>
      </c>
      <c r="L12" s="24">
        <f>+'CAC Bal Sheet'!L12+'AL Bal Sheet'!L12+'ESL Bal Sheet'!L12</f>
        <v>0</v>
      </c>
      <c r="M12" s="22">
        <f>IF($D$4=$H$5,H12-L12,IF($D$4=$I$5,I12-L12,IF($D$4=$J$5,J12-L12,K12-L12)))</f>
        <v>0</v>
      </c>
      <c r="N12" s="25">
        <f>IF($D$4=$H$5,H12-G12,IF($D$4=$I$5,I12-G12,IF($D$4=$J$5,J12-G12,K12-G12)))</f>
        <v>0</v>
      </c>
    </row>
    <row r="13" spans="1:16" x14ac:dyDescent="0.3">
      <c r="F13" s="14"/>
      <c r="G13" s="22"/>
      <c r="H13" s="23"/>
      <c r="I13" s="22"/>
      <c r="J13" s="22"/>
      <c r="K13" s="22"/>
      <c r="L13" s="24"/>
      <c r="M13" s="22"/>
      <c r="N13" s="25"/>
    </row>
    <row r="14" spans="1:16" x14ac:dyDescent="0.3">
      <c r="F14" s="14"/>
      <c r="G14" s="22"/>
      <c r="H14" s="23"/>
      <c r="I14" s="22"/>
      <c r="J14" s="22"/>
      <c r="K14" s="22"/>
      <c r="L14" s="24"/>
      <c r="M14" s="22"/>
      <c r="N14" s="25"/>
    </row>
    <row r="15" spans="1:16" x14ac:dyDescent="0.3">
      <c r="B15" s="1" t="s">
        <v>297</v>
      </c>
      <c r="F15" s="14"/>
      <c r="G15" s="26">
        <f>+'CAC Bal Sheet'!G15+'AL Bal Sheet'!G15+'ESL Bal Sheet'!G15</f>
        <v>108387.28</v>
      </c>
      <c r="H15" s="27">
        <f>+'CAC Bal Sheet'!H15+'AL Bal Sheet'!H15+'ESL Bal Sheet'!H15</f>
        <v>110396.6</v>
      </c>
      <c r="I15" s="26">
        <f>+'CAC Bal Sheet'!I15+'AL Bal Sheet'!I15+'ESL Bal Sheet'!I15</f>
        <v>84180.86</v>
      </c>
      <c r="J15" s="26">
        <f>+'CAC Bal Sheet'!J15+'AL Bal Sheet'!J15+'ESL Bal Sheet'!J15</f>
        <v>88529.35</v>
      </c>
      <c r="K15" s="26">
        <f>+'CAC Bal Sheet'!K15+'AL Bal Sheet'!K15+'ESL Bal Sheet'!K15</f>
        <v>105058.83</v>
      </c>
      <c r="L15" s="28">
        <f>+'CAC Bal Sheet'!L15+'AL Bal Sheet'!L15+'ESL Bal Sheet'!L15</f>
        <v>115274</v>
      </c>
      <c r="M15" s="26">
        <f>IF($D$4=$H$5,H15-L15,IF($D$4=$I$5,I15-L15,IF($D$4=$J$5,J15-L15,K15-L15)))</f>
        <v>-10215.169999999998</v>
      </c>
      <c r="N15" s="29">
        <f>IF($D$4=$H$5,H15-G15,IF($D$4=$I$5,I15-G15,IF($D$4=$J$5,J15-G15,K15-G15)))</f>
        <v>-3328.4499999999971</v>
      </c>
      <c r="P15" s="35"/>
    </row>
    <row r="16" spans="1:16" x14ac:dyDescent="0.3">
      <c r="F16" s="14"/>
      <c r="G16" s="22"/>
      <c r="H16" s="23"/>
      <c r="I16" s="22"/>
      <c r="J16" s="22"/>
      <c r="K16" s="22"/>
      <c r="L16" s="24"/>
      <c r="M16" s="22"/>
      <c r="N16" s="25"/>
    </row>
    <row r="17" spans="2:14" x14ac:dyDescent="0.3">
      <c r="B17" t="s">
        <v>143</v>
      </c>
      <c r="F17" s="14">
        <v>1010</v>
      </c>
      <c r="G17" s="22">
        <f>+'CAC Bal Sheet'!G17+'AL Bal Sheet'!G17+'ESL Bal Sheet'!G17</f>
        <v>48131</v>
      </c>
      <c r="H17" s="23">
        <f>+'CAC Bal Sheet'!H17+'AL Bal Sheet'!H17+'ESL Bal Sheet'!H17</f>
        <v>46888.32</v>
      </c>
      <c r="I17" s="22">
        <f>+'CAC Bal Sheet'!I17+'AL Bal Sheet'!I17+'ESL Bal Sheet'!I17</f>
        <v>47411</v>
      </c>
      <c r="J17" s="22">
        <f>+'CAC Bal Sheet'!J17+'AL Bal Sheet'!J17+'ESL Bal Sheet'!J17</f>
        <v>64850</v>
      </c>
      <c r="K17" s="22">
        <f>+'CAC Bal Sheet'!K17+'AL Bal Sheet'!K17+'ESL Bal Sheet'!K17</f>
        <v>71886</v>
      </c>
      <c r="L17" s="24">
        <f>+'CAC Bal Sheet'!L17+'AL Bal Sheet'!L17+'ESL Bal Sheet'!L17</f>
        <v>52721.23</v>
      </c>
      <c r="M17" s="22">
        <f>IF($D$4=$H$5,H17-L17,IF($D$4=$I$5,I17-L17,IF($D$4=$J$5,J17-L17,K17-L17)))</f>
        <v>19164.769999999997</v>
      </c>
      <c r="N17" s="25">
        <f>IF($D$4=$H$5,H17-G17,IF($D$4=$I$5,I17-G17,IF($D$4=$J$5,J17-G17,K17-G17)))</f>
        <v>23755</v>
      </c>
    </row>
    <row r="18" spans="2:14" x14ac:dyDescent="0.3">
      <c r="B18" t="s">
        <v>245</v>
      </c>
      <c r="F18" s="14">
        <v>1070</v>
      </c>
      <c r="G18" s="22">
        <f>+'CAC Bal Sheet'!G18+'AL Bal Sheet'!G18+'ESL Bal Sheet'!G18</f>
        <v>0</v>
      </c>
      <c r="H18" s="23">
        <f>+'CAC Bal Sheet'!H18+'AL Bal Sheet'!H18+'ESL Bal Sheet'!H18</f>
        <v>0</v>
      </c>
      <c r="I18" s="22">
        <f>+'CAC Bal Sheet'!I18+'AL Bal Sheet'!I18+'ESL Bal Sheet'!I18</f>
        <v>0</v>
      </c>
      <c r="J18" s="22">
        <f>+'CAC Bal Sheet'!J18+'AL Bal Sheet'!J18+'ESL Bal Sheet'!J18</f>
        <v>0</v>
      </c>
      <c r="K18" s="22">
        <f>+'CAC Bal Sheet'!K18+'AL Bal Sheet'!K18+'ESL Bal Sheet'!K18</f>
        <v>0</v>
      </c>
      <c r="L18" s="24">
        <f>+'CAC Bal Sheet'!L18+'AL Bal Sheet'!L18+'ESL Bal Sheet'!L18</f>
        <v>0</v>
      </c>
      <c r="M18" s="22">
        <f>IF($D$4=$H$5,H18-L18,IF($D$4=$I$5,I18-L18,IF($D$4=$J$5,J18-L18,K18-L18)))</f>
        <v>0</v>
      </c>
      <c r="N18" s="25">
        <f>IF($D$4=$H$5,H18-G18,IF($D$4=$I$5,I18-G18,IF($D$4=$J$5,J18-G18,K18-G18)))</f>
        <v>0</v>
      </c>
    </row>
    <row r="19" spans="2:14" x14ac:dyDescent="0.3">
      <c r="B19" t="s">
        <v>145</v>
      </c>
      <c r="F19" s="14"/>
      <c r="G19" s="22"/>
      <c r="H19" s="23"/>
      <c r="I19" s="22"/>
      <c r="J19" s="22"/>
      <c r="K19" s="22"/>
      <c r="L19" s="24"/>
      <c r="M19" s="22"/>
      <c r="N19" s="25"/>
    </row>
    <row r="20" spans="2:14" x14ac:dyDescent="0.3">
      <c r="F20" s="14"/>
      <c r="G20" s="22"/>
      <c r="H20" s="23"/>
      <c r="I20" s="22"/>
      <c r="J20" s="22"/>
      <c r="K20" s="22"/>
      <c r="L20" s="24"/>
      <c r="M20" s="22"/>
      <c r="N20" s="25"/>
    </row>
    <row r="21" spans="2:14" x14ac:dyDescent="0.3">
      <c r="F21" s="14"/>
      <c r="G21" s="30"/>
      <c r="H21" s="31"/>
      <c r="I21" s="30"/>
      <c r="J21" s="30"/>
      <c r="K21" s="22"/>
      <c r="L21" s="24"/>
      <c r="M21" s="22"/>
      <c r="N21" s="25"/>
    </row>
    <row r="22" spans="2:14" x14ac:dyDescent="0.3">
      <c r="B22" s="1" t="s">
        <v>38</v>
      </c>
      <c r="F22" s="14"/>
      <c r="G22" s="26">
        <f>+'CAC Bal Sheet'!G22+'AL Bal Sheet'!G22+'ESL Bal Sheet'!G22</f>
        <v>48131</v>
      </c>
      <c r="H22" s="27">
        <f>+'CAC Bal Sheet'!H22+'AL Bal Sheet'!H22+'ESL Bal Sheet'!H22</f>
        <v>46888.32</v>
      </c>
      <c r="I22" s="26">
        <f>+'CAC Bal Sheet'!I22+'AL Bal Sheet'!I22+'ESL Bal Sheet'!I22</f>
        <v>47411</v>
      </c>
      <c r="J22" s="26">
        <f>+'CAC Bal Sheet'!J22+'AL Bal Sheet'!J22+'ESL Bal Sheet'!J22</f>
        <v>64850</v>
      </c>
      <c r="K22" s="26">
        <f>+'CAC Bal Sheet'!K22+'AL Bal Sheet'!K22+'ESL Bal Sheet'!K22</f>
        <v>71886</v>
      </c>
      <c r="L22" s="28">
        <f>+'CAC Bal Sheet'!L22+'AL Bal Sheet'!L22+'ESL Bal Sheet'!L22</f>
        <v>52721.23</v>
      </c>
      <c r="M22" s="26">
        <f>IF($D$4=$H$5,H22-L22,IF($D$4=$I$5,I22-L22,IF($D$4=$J$5,J22-L22,K22-L22)))</f>
        <v>19164.769999999997</v>
      </c>
      <c r="N22" s="29">
        <f>IF($D$4=$H$5,H22-G22,IF($D$4=$I$5,I22-G22,IF($D$4=$J$5,J22-G22,K22-G22)))</f>
        <v>23755</v>
      </c>
    </row>
    <row r="23" spans="2:14" x14ac:dyDescent="0.3">
      <c r="F23" s="14"/>
      <c r="G23" s="22"/>
      <c r="H23" s="23"/>
      <c r="I23" s="22"/>
      <c r="J23" s="22"/>
      <c r="K23" s="22"/>
      <c r="L23" s="24"/>
      <c r="M23" s="22"/>
      <c r="N23" s="25"/>
    </row>
    <row r="24" spans="2:14" x14ac:dyDescent="0.3">
      <c r="B24" t="s">
        <v>146</v>
      </c>
      <c r="F24" s="14"/>
      <c r="G24" s="22">
        <f>+'CAC Bal Sheet'!G24+'AL Bal Sheet'!G24+'ESL Bal Sheet'!G24</f>
        <v>84858</v>
      </c>
      <c r="H24" s="23">
        <f>+'CAC Bal Sheet'!H24+'AL Bal Sheet'!H24+'ESL Bal Sheet'!H24</f>
        <v>91631</v>
      </c>
      <c r="I24" s="22">
        <f>+'CAC Bal Sheet'!I24+'AL Bal Sheet'!I24+'ESL Bal Sheet'!I24</f>
        <v>87888.76</v>
      </c>
      <c r="J24" s="22">
        <f>+'CAC Bal Sheet'!J24+'AL Bal Sheet'!J24+'ESL Bal Sheet'!J24</f>
        <v>96183.46</v>
      </c>
      <c r="K24" s="22">
        <f>+'CAC Bal Sheet'!K24+'AL Bal Sheet'!K24+'ESL Bal Sheet'!K24</f>
        <v>101947.5</v>
      </c>
      <c r="L24" s="24">
        <f>+'CAC Bal Sheet'!L24+'AL Bal Sheet'!L24+'ESL Bal Sheet'!L24</f>
        <v>99824</v>
      </c>
      <c r="M24" s="22">
        <f>IF($D$4=$H$5,H24-L24,IF($D$4=$I$5,I24-L24,IF($D$4=$J$5,J24-L24,K24-L24)))</f>
        <v>2123.5</v>
      </c>
      <c r="N24" s="25">
        <f>IF($D$4=$H$5,H24-G24,IF($D$4=$I$5,I24-G24,IF($D$4=$J$5,J24-G24,K24-G24)))</f>
        <v>17089.5</v>
      </c>
    </row>
    <row r="25" spans="2:14" x14ac:dyDescent="0.3">
      <c r="B25" t="s">
        <v>147</v>
      </c>
      <c r="F25" s="14"/>
      <c r="G25" s="22">
        <f>+'CAC Bal Sheet'!G25+'AL Bal Sheet'!G25+'ESL Bal Sheet'!G25</f>
        <v>75857</v>
      </c>
      <c r="H25" s="23">
        <f>+'CAC Bal Sheet'!H25+'AL Bal Sheet'!H25+'ESL Bal Sheet'!H25</f>
        <v>75869</v>
      </c>
      <c r="I25" s="22">
        <f>+'CAC Bal Sheet'!I25+'AL Bal Sheet'!I25+'ESL Bal Sheet'!I25</f>
        <v>75880.22</v>
      </c>
      <c r="J25" s="22">
        <f>+'CAC Bal Sheet'!J25+'AL Bal Sheet'!J25+'ESL Bal Sheet'!J25</f>
        <v>75887.83</v>
      </c>
      <c r="K25" s="22">
        <f>+'CAC Bal Sheet'!K25+'AL Bal Sheet'!K25+'ESL Bal Sheet'!K25</f>
        <v>75903.05</v>
      </c>
      <c r="L25" s="24">
        <f>+'CAC Bal Sheet'!L25+'AL Bal Sheet'!L25+'ESL Bal Sheet'!L25</f>
        <v>75917</v>
      </c>
      <c r="M25" s="22">
        <f>IF($D$4=$H$5,H25-L25,IF($D$4=$I$5,I25-L25,IF($D$4=$J$5,J25-L25,K25-L25)))</f>
        <v>-13.94999999999709</v>
      </c>
      <c r="N25" s="25">
        <f>IF($D$4=$H$5,H25-G25,IF($D$4=$I$5,I25-G25,IF($D$4=$J$5,J25-G25,K25-G25)))</f>
        <v>46.05000000000291</v>
      </c>
    </row>
    <row r="26" spans="2:14" x14ac:dyDescent="0.3">
      <c r="B26" t="s">
        <v>296</v>
      </c>
      <c r="F26" s="14"/>
      <c r="G26" s="22">
        <f>+'CAC Bal Sheet'!G26+'AL Bal Sheet'!G26+'ESL Bal Sheet'!G26</f>
        <v>0</v>
      </c>
      <c r="H26" s="23">
        <f>+'CAC Bal Sheet'!H26+'AL Bal Sheet'!H26+'ESL Bal Sheet'!H26</f>
        <v>0</v>
      </c>
      <c r="I26" s="22">
        <f>+'CAC Bal Sheet'!I26+'AL Bal Sheet'!I26+'ESL Bal Sheet'!I26</f>
        <v>0</v>
      </c>
      <c r="J26" s="22">
        <f>+'CAC Bal Sheet'!J26+'AL Bal Sheet'!J26+'ESL Bal Sheet'!J26</f>
        <v>0</v>
      </c>
      <c r="K26" s="22">
        <f>+'CAC Bal Sheet'!K26+'AL Bal Sheet'!K26+'ESL Bal Sheet'!K26</f>
        <v>0</v>
      </c>
      <c r="L26" s="24">
        <f>+'CAC Bal Sheet'!L26+'AL Bal Sheet'!L26+'ESL Bal Sheet'!L26</f>
        <v>0</v>
      </c>
      <c r="M26" s="22">
        <f>IF($D$4=$H$5,H26-L26,IF($D$4=$I$5,I26-L26,IF($D$4=$J$5,J26-L26,K26-L26)))</f>
        <v>0</v>
      </c>
      <c r="N26" s="25">
        <f>IF($D$4=$H$5,H26-G26,IF($D$4=$I$5,I26-G26,IF($D$4=$J$5,J26-G26,K26-G26)))</f>
        <v>0</v>
      </c>
    </row>
    <row r="27" spans="2:14" x14ac:dyDescent="0.3">
      <c r="F27" s="14"/>
      <c r="G27" s="22">
        <f>+'CAC Bal Sheet'!G27+'AL Bal Sheet'!G27+'ESL Bal Sheet'!G27</f>
        <v>0</v>
      </c>
      <c r="H27" s="23">
        <f>+'CAC Bal Sheet'!H27+'AL Bal Sheet'!H27+'ESL Bal Sheet'!H27</f>
        <v>0</v>
      </c>
      <c r="I27" s="22">
        <f>+'CAC Bal Sheet'!I27+'AL Bal Sheet'!I27+'ESL Bal Sheet'!I27</f>
        <v>0</v>
      </c>
      <c r="J27" s="22">
        <f>+'CAC Bal Sheet'!J27+'AL Bal Sheet'!J27+'ESL Bal Sheet'!J27</f>
        <v>0</v>
      </c>
      <c r="K27" s="22">
        <f>+'CAC Bal Sheet'!K27+'AL Bal Sheet'!K27+'ESL Bal Sheet'!K27</f>
        <v>0</v>
      </c>
      <c r="L27" s="24">
        <f>+'CAC Bal Sheet'!L27+'AL Bal Sheet'!L27+'ESL Bal Sheet'!L27</f>
        <v>0</v>
      </c>
      <c r="M27" s="22">
        <f>IF($D$4=$H$5,H27-L27,IF($D$4=$I$5,I27-L27,IF($D$4=$J$5,J27-L27,K27-L27)))</f>
        <v>0</v>
      </c>
      <c r="N27" s="25">
        <f>IF($D$4=$H$5,H27-G27,IF($D$4=$I$5,I27-G27,IF($D$4=$J$5,J27-G27,K27-G27)))</f>
        <v>0</v>
      </c>
    </row>
    <row r="28" spans="2:14" x14ac:dyDescent="0.3">
      <c r="F28" s="14"/>
      <c r="G28" s="22"/>
      <c r="H28" s="23"/>
      <c r="I28" s="22"/>
      <c r="J28" s="22"/>
      <c r="K28" s="22"/>
      <c r="L28" s="24"/>
      <c r="M28" s="22"/>
      <c r="N28" s="25"/>
    </row>
    <row r="29" spans="2:14" x14ac:dyDescent="0.3">
      <c r="B29" s="1" t="s">
        <v>39</v>
      </c>
      <c r="F29" s="14"/>
      <c r="G29" s="26">
        <f>+'CAC Bal Sheet'!G29+'AL Bal Sheet'!G29+'ESL Bal Sheet'!G29</f>
        <v>160715</v>
      </c>
      <c r="H29" s="27">
        <f>+'CAC Bal Sheet'!H29+'AL Bal Sheet'!H29+'ESL Bal Sheet'!H29</f>
        <v>167500</v>
      </c>
      <c r="I29" s="26">
        <f>+'CAC Bal Sheet'!I29+'AL Bal Sheet'!I29+'ESL Bal Sheet'!I29</f>
        <v>163768.97999999998</v>
      </c>
      <c r="J29" s="26">
        <f>+'CAC Bal Sheet'!J29+'AL Bal Sheet'!J29+'ESL Bal Sheet'!J29</f>
        <v>172071.29</v>
      </c>
      <c r="K29" s="26">
        <f>+'CAC Bal Sheet'!K29+'AL Bal Sheet'!K29+'ESL Bal Sheet'!K29</f>
        <v>177850.55</v>
      </c>
      <c r="L29" s="28">
        <f>+'CAC Bal Sheet'!L29+'AL Bal Sheet'!L29+'ESL Bal Sheet'!L29</f>
        <v>175741</v>
      </c>
      <c r="M29" s="26">
        <f>IF($D$4=$H$5,H29-L29,IF($D$4=$I$5,I29-L29,IF($D$4=$J$5,J29-L29,K29-L29)))</f>
        <v>2109.5499999999884</v>
      </c>
      <c r="N29" s="29">
        <f>IF($D$4=$H$5,H29-G29,IF($D$4=$I$5,I29-G29,IF($D$4=$J$5,J29-G29,K29-G29)))</f>
        <v>17135.549999999988</v>
      </c>
    </row>
    <row r="30" spans="2:14" x14ac:dyDescent="0.3">
      <c r="F30" s="14"/>
      <c r="G30" s="22"/>
      <c r="H30" s="23"/>
      <c r="I30" s="22"/>
      <c r="J30" s="22"/>
      <c r="K30" s="22"/>
      <c r="L30" s="24"/>
      <c r="M30" s="22"/>
      <c r="N30" s="25"/>
    </row>
    <row r="31" spans="2:14" x14ac:dyDescent="0.3">
      <c r="B31" s="1" t="s">
        <v>150</v>
      </c>
      <c r="F31" s="14"/>
      <c r="G31" s="53">
        <f>+'CAC Bal Sheet'!G31+'AL Bal Sheet'!G31+'ESL Bal Sheet'!G31</f>
        <v>317233.28000000003</v>
      </c>
      <c r="H31" s="69">
        <f>+'CAC Bal Sheet'!H31+'AL Bal Sheet'!H31+'ESL Bal Sheet'!H31</f>
        <v>324784.92</v>
      </c>
      <c r="I31" s="53">
        <f>+'CAC Bal Sheet'!I31+'AL Bal Sheet'!I31+'ESL Bal Sheet'!I31</f>
        <v>295360.83999999997</v>
      </c>
      <c r="J31" s="53">
        <f>+'CAC Bal Sheet'!J31+'AL Bal Sheet'!J31+'ESL Bal Sheet'!J31</f>
        <v>325450.64</v>
      </c>
      <c r="K31" s="53">
        <f>+'CAC Bal Sheet'!K31+'AL Bal Sheet'!K31+'ESL Bal Sheet'!K31</f>
        <v>354795.38</v>
      </c>
      <c r="L31" s="52">
        <f>+'CAC Bal Sheet'!L31+'AL Bal Sheet'!L31+'ESL Bal Sheet'!L31</f>
        <v>343736.23</v>
      </c>
      <c r="M31" s="53">
        <f>IF($D$4=$H$5,H31-L31,IF($D$4=$I$5,I31-L31,IF($D$4=$J$5,J31-L31,K31-L31)))</f>
        <v>11059.150000000023</v>
      </c>
      <c r="N31" s="123">
        <f>IF($D$4=$H$5,H31-G31,IF($D$4=$I$5,I31-G31,IF($D$4=$J$5,J31-G31,K31-G31)))</f>
        <v>37562.099999999977</v>
      </c>
    </row>
    <row r="32" spans="2:14" x14ac:dyDescent="0.3">
      <c r="F32" s="14"/>
      <c r="G32" s="22"/>
      <c r="H32" s="23"/>
      <c r="I32" s="22"/>
      <c r="J32" s="22"/>
      <c r="K32" s="22"/>
      <c r="L32" s="24"/>
      <c r="M32" s="22"/>
      <c r="N32" s="25"/>
    </row>
    <row r="33" spans="1:14" x14ac:dyDescent="0.3">
      <c r="A33" s="1" t="s">
        <v>153</v>
      </c>
      <c r="F33" s="14"/>
      <c r="G33" s="30"/>
      <c r="H33" s="31"/>
      <c r="I33" s="30"/>
      <c r="J33" s="30"/>
      <c r="K33" s="30"/>
      <c r="L33" s="32"/>
      <c r="M33" s="30"/>
      <c r="N33" s="33"/>
    </row>
    <row r="34" spans="1:14" x14ac:dyDescent="0.3">
      <c r="B34" t="s">
        <v>152</v>
      </c>
      <c r="F34" s="14"/>
      <c r="G34" s="30">
        <f>+'CAC Bal Sheet'!G34+'AL Bal Sheet'!G34+'ESL Bal Sheet'!G34</f>
        <v>119544.71</v>
      </c>
      <c r="H34" s="31">
        <f>+'CAC Bal Sheet'!H34+'AL Bal Sheet'!H34+'ESL Bal Sheet'!H34</f>
        <v>118650.65</v>
      </c>
      <c r="I34" s="30">
        <f>+'CAC Bal Sheet'!I34+'AL Bal Sheet'!I34+'ESL Bal Sheet'!I34</f>
        <v>118778.37</v>
      </c>
      <c r="J34" s="30">
        <f>+'CAC Bal Sheet'!J34+'AL Bal Sheet'!J34+'ESL Bal Sheet'!J34</f>
        <v>118267.48</v>
      </c>
      <c r="K34" s="30">
        <f>+'CAC Bal Sheet'!K34+'AL Bal Sheet'!K34+'ESL Bal Sheet'!K34</f>
        <v>118969.96</v>
      </c>
      <c r="L34" s="32">
        <f>+'CAC Bal Sheet'!L34+'AL Bal Sheet'!L34+'ESL Bal Sheet'!L34</f>
        <v>120000</v>
      </c>
      <c r="M34" s="22">
        <f>IF($D$4=$H$5,H34-L34,IF($D$4=$I$5,I34-L34,IF($D$4=$J$5,J34-L34,K34-L34)))</f>
        <v>-1030.0399999999936</v>
      </c>
      <c r="N34" s="25">
        <f>IF($D$4=$H$5,H34-G34,IF($D$4=$I$5,I34-G34,IF($D$4=$J$5,J34-G34,K34-G34)))</f>
        <v>-574.75</v>
      </c>
    </row>
    <row r="35" spans="1:14" x14ac:dyDescent="0.3">
      <c r="F35" s="14"/>
      <c r="G35" s="30"/>
      <c r="H35" s="31"/>
      <c r="I35" s="30"/>
      <c r="J35" s="30"/>
      <c r="K35" s="30"/>
      <c r="L35" s="32"/>
      <c r="M35" s="30"/>
      <c r="N35" s="33"/>
    </row>
    <row r="36" spans="1:14" x14ac:dyDescent="0.3">
      <c r="F36" s="14"/>
      <c r="G36" s="22"/>
      <c r="H36" s="23"/>
      <c r="I36" s="22"/>
      <c r="J36" s="22"/>
      <c r="K36" s="22"/>
      <c r="L36" s="24"/>
      <c r="M36" s="22"/>
      <c r="N36" s="25"/>
    </row>
    <row r="37" spans="1:14" x14ac:dyDescent="0.3">
      <c r="B37" s="1" t="s">
        <v>154</v>
      </c>
      <c r="F37" s="14"/>
      <c r="G37" s="26">
        <f>+'CAC Bal Sheet'!G37+'AL Bal Sheet'!G37+'ESL Bal Sheet'!G37</f>
        <v>119544.71</v>
      </c>
      <c r="H37" s="27">
        <f>+'CAC Bal Sheet'!H37+'AL Bal Sheet'!H37+'ESL Bal Sheet'!H37</f>
        <v>118650.65</v>
      </c>
      <c r="I37" s="26">
        <f>+'CAC Bal Sheet'!I37+'AL Bal Sheet'!I37+'ESL Bal Sheet'!I37</f>
        <v>118778.37</v>
      </c>
      <c r="J37" s="26">
        <f>+'CAC Bal Sheet'!J37+'AL Bal Sheet'!J37+'ESL Bal Sheet'!J37</f>
        <v>118267.48</v>
      </c>
      <c r="K37" s="26">
        <f>+'CAC Bal Sheet'!K37+'AL Bal Sheet'!K37+'ESL Bal Sheet'!K37</f>
        <v>118969.96</v>
      </c>
      <c r="L37" s="28">
        <f>+'CAC Bal Sheet'!L37+'AL Bal Sheet'!L37+'ESL Bal Sheet'!L37</f>
        <v>120000</v>
      </c>
      <c r="M37" s="26">
        <f>IF($D$4=$H$5,H37-L37,IF($D$4=$I$5,I37-L37,IF($D$4=$J$5,J37-L37,K37-L37)))</f>
        <v>-1030.0399999999936</v>
      </c>
      <c r="N37" s="29">
        <f>IF($D$4=$H$5,H37-G37,IF($D$4=$I$5,I37-G37,IF($D$4=$J$5,J37-G37,K37-G37)))</f>
        <v>-574.75</v>
      </c>
    </row>
    <row r="38" spans="1:14" x14ac:dyDescent="0.3">
      <c r="F38" s="14"/>
      <c r="G38" s="22"/>
      <c r="H38" s="23"/>
      <c r="I38" s="22"/>
      <c r="J38" s="22"/>
      <c r="K38" s="22"/>
      <c r="L38" s="24"/>
      <c r="M38" s="22"/>
      <c r="N38" s="25"/>
    </row>
    <row r="39" spans="1:14" hidden="1" outlineLevel="1" x14ac:dyDescent="0.3">
      <c r="A39" s="1" t="s">
        <v>155</v>
      </c>
      <c r="B39" s="1"/>
      <c r="F39" s="14"/>
      <c r="G39" s="22"/>
      <c r="H39" s="23"/>
      <c r="I39" s="22"/>
      <c r="J39" s="22"/>
      <c r="K39" s="22"/>
      <c r="L39" s="24"/>
      <c r="M39" s="22"/>
      <c r="N39" s="25"/>
    </row>
    <row r="40" spans="1:14" hidden="1" outlineLevel="1" x14ac:dyDescent="0.3">
      <c r="B40" t="s">
        <v>156</v>
      </c>
      <c r="F40" s="14"/>
      <c r="G40" s="22">
        <f>+'CAC Bal Sheet'!G40+'AL Bal Sheet'!G40+'ESL Bal Sheet'!G40</f>
        <v>0</v>
      </c>
      <c r="H40" s="23">
        <f>+'CAC Bal Sheet'!H40+'AL Bal Sheet'!H40+'ESL Bal Sheet'!H40</f>
        <v>0</v>
      </c>
      <c r="I40" s="22" t="e">
        <f>+'CAC Bal Sheet'!#REF!+'AL Bal Sheet'!I40+'ESL Bal Sheet'!I40</f>
        <v>#REF!</v>
      </c>
      <c r="J40" s="22">
        <f>+'CAC Bal Sheet'!J40+'AL Bal Sheet'!J40+'ESL Bal Sheet'!J40</f>
        <v>0</v>
      </c>
      <c r="K40" s="22">
        <f>+'CAC Bal Sheet'!K40+'AL Bal Sheet'!K40+'ESL Bal Sheet'!K40</f>
        <v>0</v>
      </c>
      <c r="L40" s="24">
        <f>+'CAC Bal Sheet'!L40+'AL Bal Sheet'!L40+'ESL Bal Sheet'!L40</f>
        <v>0</v>
      </c>
      <c r="M40" s="22"/>
      <c r="N40" s="25"/>
    </row>
    <row r="41" spans="1:14" hidden="1" outlineLevel="1" x14ac:dyDescent="0.3">
      <c r="B41" t="s">
        <v>37</v>
      </c>
      <c r="F41" s="14"/>
      <c r="G41" s="22">
        <f>+'CAC Bal Sheet'!G41+'AL Bal Sheet'!G41+'ESL Bal Sheet'!G41</f>
        <v>0</v>
      </c>
      <c r="H41" s="23">
        <f>+'CAC Bal Sheet'!H41+'AL Bal Sheet'!H41+'ESL Bal Sheet'!H41</f>
        <v>0</v>
      </c>
      <c r="I41" s="22">
        <f>+'CAC Bal Sheet'!I41+'AL Bal Sheet'!I41+'ESL Bal Sheet'!I41</f>
        <v>0</v>
      </c>
      <c r="J41" s="22">
        <f>+'CAC Bal Sheet'!J41+'AL Bal Sheet'!J41+'ESL Bal Sheet'!J41</f>
        <v>0</v>
      </c>
      <c r="K41" s="22">
        <f>+'CAC Bal Sheet'!K41+'AL Bal Sheet'!K41+'ESL Bal Sheet'!K41</f>
        <v>0</v>
      </c>
      <c r="L41" s="24">
        <f>+'CAC Bal Sheet'!L41+'AL Bal Sheet'!L41+'ESL Bal Sheet'!L41</f>
        <v>0</v>
      </c>
      <c r="M41" s="22"/>
      <c r="N41" s="25"/>
    </row>
    <row r="42" spans="1:14" hidden="1" outlineLevel="1" x14ac:dyDescent="0.3">
      <c r="F42" s="14"/>
      <c r="G42" s="22"/>
      <c r="H42" s="23"/>
      <c r="I42" s="22"/>
      <c r="J42" s="22"/>
      <c r="K42" s="22"/>
      <c r="L42" s="24"/>
      <c r="M42" s="22"/>
      <c r="N42" s="25"/>
    </row>
    <row r="43" spans="1:14" collapsed="1" x14ac:dyDescent="0.3">
      <c r="B43" s="1" t="s">
        <v>26</v>
      </c>
      <c r="F43" s="14"/>
      <c r="G43" s="26">
        <f>+'CAC Bal Sheet'!G43+'AL Bal Sheet'!G43+'ESL Bal Sheet'!G43</f>
        <v>0</v>
      </c>
      <c r="H43" s="27">
        <f>+'CAC Bal Sheet'!H43+'AL Bal Sheet'!H43+'ESL Bal Sheet'!H43</f>
        <v>0</v>
      </c>
      <c r="I43" s="26">
        <f>+'CAC Bal Sheet'!I43+'AL Bal Sheet'!I43+'ESL Bal Sheet'!I43</f>
        <v>0</v>
      </c>
      <c r="J43" s="26">
        <f>+'CAC Bal Sheet'!J43+'AL Bal Sheet'!J43+'ESL Bal Sheet'!J43</f>
        <v>0</v>
      </c>
      <c r="K43" s="26">
        <f>+'CAC Bal Sheet'!K43+'AL Bal Sheet'!K43+'ESL Bal Sheet'!K43</f>
        <v>0</v>
      </c>
      <c r="L43" s="28">
        <f>+'CAC Bal Sheet'!L43+'AL Bal Sheet'!L43+'ESL Bal Sheet'!L43</f>
        <v>0</v>
      </c>
      <c r="M43" s="26">
        <f>IF($D$4=$H$5,H43-L43,IF($D$4=$I$5,I43-L43,IF($D$4=$J$5,J43-L43,K43-L43)))</f>
        <v>0</v>
      </c>
      <c r="N43" s="29">
        <f>IF($D$4=$H$5,H43-G43,IF($D$4=$I$5,I43-G43,IF($D$4=$J$5,J43-G43,K43-G43)))</f>
        <v>0</v>
      </c>
    </row>
    <row r="44" spans="1:14" x14ac:dyDescent="0.3">
      <c r="F44" s="14"/>
      <c r="G44" s="22"/>
      <c r="H44" s="23"/>
      <c r="I44" s="22"/>
      <c r="J44" s="22"/>
      <c r="K44" s="22"/>
      <c r="L44" s="24"/>
      <c r="M44" s="22"/>
      <c r="N44" s="25"/>
    </row>
    <row r="45" spans="1:14" ht="14" thickBot="1" x14ac:dyDescent="0.35">
      <c r="A45" s="1" t="s">
        <v>40</v>
      </c>
      <c r="F45" s="14"/>
      <c r="G45" s="65">
        <f>+'CAC Bal Sheet'!G45+'AL Bal Sheet'!G45+'ESL Bal Sheet'!G45</f>
        <v>436777.99</v>
      </c>
      <c r="H45" s="72">
        <f>+'CAC Bal Sheet'!H45+'AL Bal Sheet'!H45+'ESL Bal Sheet'!H45</f>
        <v>443435.57</v>
      </c>
      <c r="I45" s="65">
        <f>+'CAC Bal Sheet'!I45+'AL Bal Sheet'!I45+'ESL Bal Sheet'!I45</f>
        <v>414139.20999999996</v>
      </c>
      <c r="J45" s="65">
        <f>+'CAC Bal Sheet'!J45+'AL Bal Sheet'!J45+'ESL Bal Sheet'!J45</f>
        <v>443718.12</v>
      </c>
      <c r="K45" s="65">
        <f>+'CAC Bal Sheet'!K45+'AL Bal Sheet'!K45+'ESL Bal Sheet'!K45</f>
        <v>473765.33999999997</v>
      </c>
      <c r="L45" s="64">
        <f>+'CAC Bal Sheet'!L45+'AL Bal Sheet'!L45+'ESL Bal Sheet'!L45</f>
        <v>463736.23</v>
      </c>
      <c r="M45" s="65">
        <f>IF($D$4=$H$5,H45-L45,IF($D$4=$I$5,I45-L45,IF($D$4=$J$5,J45-L45,K45-L45)))</f>
        <v>10029.109999999986</v>
      </c>
      <c r="N45" s="124">
        <f>IF($D$4=$H$5,H45-G45,IF($D$4=$I$5,I45-G45,IF($D$4=$J$5,J45-G45,K45-G45)))</f>
        <v>36987.349999999977</v>
      </c>
    </row>
    <row r="46" spans="1:14" ht="14" thickTop="1" x14ac:dyDescent="0.3">
      <c r="F46" s="14"/>
      <c r="G46" s="22"/>
      <c r="H46" s="23"/>
      <c r="I46" s="22"/>
      <c r="J46" s="22"/>
      <c r="K46" s="22"/>
      <c r="L46" s="24"/>
      <c r="M46" s="22"/>
      <c r="N46" s="25"/>
    </row>
    <row r="47" spans="1:14" x14ac:dyDescent="0.3">
      <c r="A47" s="1" t="s">
        <v>44</v>
      </c>
      <c r="F47" s="14"/>
      <c r="G47" s="22"/>
      <c r="H47" s="23"/>
      <c r="I47" s="22"/>
      <c r="J47" s="22"/>
      <c r="K47" s="22"/>
      <c r="L47" s="24"/>
      <c r="M47" s="22"/>
      <c r="N47" s="25"/>
    </row>
    <row r="48" spans="1:14" x14ac:dyDescent="0.3">
      <c r="B48" t="s">
        <v>41</v>
      </c>
      <c r="F48" s="14">
        <v>2020</v>
      </c>
      <c r="G48" s="22">
        <f>+'CAC Bal Sheet'!G48+'AL Bal Sheet'!G48+'ESL Bal Sheet'!G48</f>
        <v>1820</v>
      </c>
      <c r="H48" s="23">
        <f>+'CAC Bal Sheet'!H48+'AL Bal Sheet'!H48+'ESL Bal Sheet'!H48</f>
        <v>450.05</v>
      </c>
      <c r="I48" s="22">
        <f>+'CAC Bal Sheet'!I48+'AL Bal Sheet'!I48+'ESL Bal Sheet'!I48</f>
        <v>0</v>
      </c>
      <c r="J48" s="22">
        <f>+'CAC Bal Sheet'!J48+'AL Bal Sheet'!J48+'ESL Bal Sheet'!J48</f>
        <v>0</v>
      </c>
      <c r="K48" s="22">
        <f>+'CAC Bal Sheet'!K48+'AL Bal Sheet'!K48+'ESL Bal Sheet'!K48</f>
        <v>2110</v>
      </c>
      <c r="L48" s="24">
        <f>+'CAC Bal Sheet'!L48+'AL Bal Sheet'!L48+'ESL Bal Sheet'!L48</f>
        <v>1000</v>
      </c>
      <c r="M48" s="22"/>
      <c r="N48" s="25"/>
    </row>
    <row r="49" spans="1:14" x14ac:dyDescent="0.3">
      <c r="B49" t="s">
        <v>42</v>
      </c>
      <c r="F49" s="14">
        <v>2010</v>
      </c>
      <c r="G49" s="22">
        <f>+'CAC Bal Sheet'!G49+'AL Bal Sheet'!G49+'ESL Bal Sheet'!G49</f>
        <v>861</v>
      </c>
      <c r="H49" s="23">
        <f>+'CAC Bal Sheet'!H49+'AL Bal Sheet'!H49+'ESL Bal Sheet'!H49</f>
        <v>311.48</v>
      </c>
      <c r="I49" s="22">
        <f>+'CAC Bal Sheet'!I49+'AL Bal Sheet'!I49+'ESL Bal Sheet'!I49</f>
        <v>396</v>
      </c>
      <c r="J49" s="22">
        <f>+'CAC Bal Sheet'!J49+'AL Bal Sheet'!J49+'ESL Bal Sheet'!J49</f>
        <v>680</v>
      </c>
      <c r="K49" s="22">
        <f>+'CAC Bal Sheet'!K49+'AL Bal Sheet'!K49+'ESL Bal Sheet'!K49</f>
        <v>404</v>
      </c>
      <c r="L49" s="24">
        <f>+'CAC Bal Sheet'!L49+'AL Bal Sheet'!L49+'ESL Bal Sheet'!L49</f>
        <v>750</v>
      </c>
      <c r="M49" s="22"/>
      <c r="N49" s="25"/>
    </row>
    <row r="50" spans="1:14" x14ac:dyDescent="0.3">
      <c r="B50" t="s">
        <v>43</v>
      </c>
      <c r="F50" s="14">
        <v>3111</v>
      </c>
      <c r="G50" s="22">
        <f>+'CAC Bal Sheet'!G50+'AL Bal Sheet'!G50+'ESL Bal Sheet'!G50</f>
        <v>5085</v>
      </c>
      <c r="H50" s="23">
        <f>+'CAC Bal Sheet'!H50+'AL Bal Sheet'!H50+'ESL Bal Sheet'!H50</f>
        <v>7119</v>
      </c>
      <c r="I50" s="22">
        <f>+'CAC Bal Sheet'!I50+'AL Bal Sheet'!I50+'ESL Bal Sheet'!I50</f>
        <v>5566</v>
      </c>
      <c r="J50" s="22">
        <f>+'CAC Bal Sheet'!J50+'AL Bal Sheet'!J50+'ESL Bal Sheet'!J50</f>
        <v>6439</v>
      </c>
      <c r="K50" s="22">
        <f>+'CAC Bal Sheet'!K50+'AL Bal Sheet'!K50+'ESL Bal Sheet'!K50</f>
        <v>9542.5</v>
      </c>
      <c r="L50" s="24">
        <f>+'CAC Bal Sheet'!L50+'AL Bal Sheet'!L50+'ESL Bal Sheet'!L50</f>
        <v>4100</v>
      </c>
      <c r="M50" s="22"/>
      <c r="N50" s="25"/>
    </row>
    <row r="51" spans="1:14" x14ac:dyDescent="0.3">
      <c r="B51" t="s">
        <v>219</v>
      </c>
      <c r="F51" s="14">
        <v>2040</v>
      </c>
      <c r="G51" s="22">
        <f>+'CAC Bal Sheet'!G51+'AL Bal Sheet'!G51+'ESL Bal Sheet'!G51</f>
        <v>0</v>
      </c>
      <c r="H51" s="23">
        <f>+'CAC Bal Sheet'!H51+'AL Bal Sheet'!H51+'ESL Bal Sheet'!H51</f>
        <v>0</v>
      </c>
      <c r="I51" s="22">
        <f>+'CAC Bal Sheet'!I40+'AL Bal Sheet'!I51+'ESL Bal Sheet'!I51</f>
        <v>0</v>
      </c>
      <c r="J51" s="22">
        <f>+'CAC Bal Sheet'!J51+'AL Bal Sheet'!J51+'ESL Bal Sheet'!J51</f>
        <v>0</v>
      </c>
      <c r="K51" s="22">
        <f>+'CAC Bal Sheet'!K51+'AL Bal Sheet'!K51+'ESL Bal Sheet'!K51</f>
        <v>0</v>
      </c>
      <c r="L51" s="24">
        <f>+'CAC Bal Sheet'!L51+'AL Bal Sheet'!L51+'ESL Bal Sheet'!L51</f>
        <v>0</v>
      </c>
      <c r="M51" s="22"/>
      <c r="N51" s="25"/>
    </row>
    <row r="52" spans="1:14" x14ac:dyDescent="0.3">
      <c r="B52" t="s">
        <v>78</v>
      </c>
      <c r="F52" s="14"/>
      <c r="G52" s="22">
        <f>+'CAC Bal Sheet'!G52+'AL Bal Sheet'!G52+'ESL Bal Sheet'!G52</f>
        <v>0</v>
      </c>
      <c r="H52" s="23">
        <f>+'CAC Bal Sheet'!H52+'AL Bal Sheet'!H52+'ESL Bal Sheet'!H52</f>
        <v>0</v>
      </c>
      <c r="I52" s="22">
        <f>+'CAC Bal Sheet'!I41+'AL Bal Sheet'!I52+'ESL Bal Sheet'!I52</f>
        <v>0</v>
      </c>
      <c r="J52" s="22">
        <f>+'CAC Bal Sheet'!J52+'AL Bal Sheet'!J52+'ESL Bal Sheet'!J52</f>
        <v>0</v>
      </c>
      <c r="K52" s="22">
        <f>+'CAC Bal Sheet'!K52+'AL Bal Sheet'!K52+'ESL Bal Sheet'!K52</f>
        <v>0</v>
      </c>
      <c r="L52" s="24">
        <f>+'CAC Bal Sheet'!L52+'AL Bal Sheet'!L52+'ESL Bal Sheet'!L52</f>
        <v>0</v>
      </c>
      <c r="M52" s="22"/>
      <c r="N52" s="25"/>
    </row>
    <row r="53" spans="1:14" x14ac:dyDescent="0.3">
      <c r="F53" s="14"/>
      <c r="G53" s="22"/>
      <c r="H53" s="23"/>
      <c r="I53" s="22"/>
      <c r="J53" s="22"/>
      <c r="K53" s="22"/>
      <c r="L53" s="24"/>
      <c r="M53" s="22"/>
      <c r="N53" s="25"/>
    </row>
    <row r="54" spans="1:14" x14ac:dyDescent="0.3">
      <c r="F54" s="14"/>
      <c r="G54" s="22"/>
      <c r="H54" s="23"/>
      <c r="I54" s="22"/>
      <c r="J54" s="22"/>
      <c r="K54" s="22"/>
      <c r="L54" s="24"/>
      <c r="M54" s="22"/>
      <c r="N54" s="25"/>
    </row>
    <row r="55" spans="1:14" x14ac:dyDescent="0.3">
      <c r="B55" s="1" t="s">
        <v>45</v>
      </c>
      <c r="F55" s="14"/>
      <c r="G55" s="26">
        <f>+'CAC Bal Sheet'!G55+'AL Bal Sheet'!G50+'ESL Bal Sheet'!G55</f>
        <v>7766</v>
      </c>
      <c r="H55" s="27">
        <f>+'CAC Bal Sheet'!H55+'AL Bal Sheet'!H55+'ESL Bal Sheet'!H55</f>
        <v>7880.53</v>
      </c>
      <c r="I55" s="26">
        <f>+'CAC Bal Sheet'!I55+'AL Bal Sheet'!I55+'ESL Bal Sheet'!I55</f>
        <v>5962</v>
      </c>
      <c r="J55" s="26">
        <f>+'CAC Bal Sheet'!J55+'AL Bal Sheet'!J55+'ESL Bal Sheet'!J55</f>
        <v>7119</v>
      </c>
      <c r="K55" s="26">
        <f>+'CAC Bal Sheet'!K55+'AL Bal Sheet'!K55+'ESL Bal Sheet'!K55</f>
        <v>12056.5</v>
      </c>
      <c r="L55" s="28">
        <f>+'CAC Bal Sheet'!L55+'AL Bal Sheet'!L55+'ESL Bal Sheet'!L55</f>
        <v>5850</v>
      </c>
      <c r="M55" s="26">
        <f>IF($D$4=$H$5,H55-L55,IF($D$4=$I$5,I55-L55,IF($D$4=$J$5,J55-L55,K55-L55)))</f>
        <v>6206.5</v>
      </c>
      <c r="N55" s="29">
        <f>IF($D$4=$H$5,H55-G55,IF($D$4=$I$5,I55-G55,IF($D$4=$J$5,J55-G55,K55-G55)))</f>
        <v>4290.5</v>
      </c>
    </row>
    <row r="56" spans="1:14" x14ac:dyDescent="0.3">
      <c r="F56" s="14"/>
      <c r="G56" s="22"/>
      <c r="H56" s="23"/>
      <c r="I56" s="22"/>
      <c r="J56" s="22"/>
      <c r="K56" s="22"/>
      <c r="L56" s="24"/>
      <c r="M56" s="22"/>
      <c r="N56" s="25"/>
    </row>
    <row r="57" spans="1:14" x14ac:dyDescent="0.3">
      <c r="A57" s="1" t="s">
        <v>46</v>
      </c>
      <c r="F57" s="14"/>
      <c r="G57" s="22"/>
      <c r="H57" s="23"/>
      <c r="I57" s="22"/>
      <c r="J57" s="22"/>
      <c r="K57" s="22"/>
      <c r="L57" s="24"/>
      <c r="M57" s="22"/>
      <c r="N57" s="25"/>
    </row>
    <row r="58" spans="1:14" x14ac:dyDescent="0.3">
      <c r="B58" s="156" t="s">
        <v>422</v>
      </c>
      <c r="F58" s="14" t="s">
        <v>79</v>
      </c>
      <c r="G58" s="22">
        <f>+'CAC Bal Sheet'!G58+'AL Bal Sheet'!G58+'ESL Bal Sheet'!G58</f>
        <v>185948.66999999998</v>
      </c>
      <c r="H58" s="23">
        <f>+'CAC Bal Sheet'!H58+'AL Bal Sheet'!H58+'ESL Bal Sheet'!H58</f>
        <v>197310.31</v>
      </c>
      <c r="I58" s="22">
        <f>+'CAC Bal Sheet'!I58+'AL Bal Sheet'!I58+'ESL Bal Sheet'!I58</f>
        <v>207953.41999999998</v>
      </c>
      <c r="J58" s="22">
        <f>+'CAC Bal Sheet'!J58+'AL Bal Sheet'!J58+'ESL Bal Sheet'!J58</f>
        <v>207447.07</v>
      </c>
      <c r="K58" s="22">
        <f>+'CAC Bal Sheet'!K58+'AL Bal Sheet'!K58+'ESL Bal Sheet'!K58</f>
        <v>207962.45300000001</v>
      </c>
      <c r="L58" s="24">
        <f>+'CAC Bal Sheet'!L58+'AL Bal Sheet'!L58+'ESL Bal Sheet'!L58</f>
        <v>179700</v>
      </c>
      <c r="M58" s="22"/>
      <c r="N58" s="25"/>
    </row>
    <row r="59" spans="1:14" x14ac:dyDescent="0.3">
      <c r="B59" t="s">
        <v>118</v>
      </c>
      <c r="F59" s="14"/>
      <c r="G59" s="22">
        <f>+'CAC Bal Sheet'!G59+'AL Bal Sheet'!G59+'ESL Bal Sheet'!G59</f>
        <v>77544.710000000006</v>
      </c>
      <c r="H59" s="23">
        <f>+'CAC Bal Sheet'!H59+'AL Bal Sheet'!H59+'ESL Bal Sheet'!H59</f>
        <v>68650.649999999994</v>
      </c>
      <c r="I59" s="22">
        <f>+'CAC Bal Sheet'!I59+'AL Bal Sheet'!I59+'ESL Bal Sheet'!I59</f>
        <v>68778.37</v>
      </c>
      <c r="J59" s="22">
        <f>+'CAC Bal Sheet'!J59+'AL Bal Sheet'!J59+'ESL Bal Sheet'!J59</f>
        <v>68778.37</v>
      </c>
      <c r="K59" s="22">
        <f>+'CAC Bal Sheet'!K59+'AL Bal Sheet'!K59+'ESL Bal Sheet'!K59</f>
        <v>68969.967000000004</v>
      </c>
      <c r="L59" s="24">
        <f>+'CAC Bal Sheet'!L59+'AL Bal Sheet'!L59+'ESL Bal Sheet'!L59</f>
        <v>70800</v>
      </c>
      <c r="M59" s="22"/>
      <c r="N59" s="25"/>
    </row>
    <row r="60" spans="1:14" x14ac:dyDescent="0.3">
      <c r="B60" t="s">
        <v>32</v>
      </c>
      <c r="F60" s="14"/>
      <c r="G60" s="22">
        <f>+'CAC Bal Sheet'!G60+'AL Bal Sheet'!G60+'ESL Bal Sheet'!G60</f>
        <v>165518.60999999999</v>
      </c>
      <c r="H60" s="23">
        <f>+'CAC Bal Sheet'!H60+'AL Bal Sheet'!H60+'ESL Bal Sheet'!H60</f>
        <v>169594.08000000002</v>
      </c>
      <c r="I60" s="22">
        <f>+'CAC Bal Sheet'!I10+'AL Bal Sheet'!I60+'ESL Bal Sheet'!I60</f>
        <v>131445.41999999998</v>
      </c>
      <c r="J60" s="22">
        <f>+'CAC Bal Sheet'!J60+'AL Bal Sheet'!J60+'ESL Bal Sheet'!J60</f>
        <v>160373.39000000001</v>
      </c>
      <c r="K60" s="22">
        <f>+'CAC Bal Sheet'!K60+'AL Bal Sheet'!K60+'ESL Bal Sheet'!K60</f>
        <v>184776.37</v>
      </c>
      <c r="L60" s="24">
        <f>+'CAC Bal Sheet'!L60+'AL Bal Sheet'!L60+'ESL Bal Sheet'!L60</f>
        <v>207386.23</v>
      </c>
      <c r="M60" s="22"/>
      <c r="N60" s="25"/>
    </row>
    <row r="61" spans="1:14" x14ac:dyDescent="0.3">
      <c r="F61" s="14"/>
      <c r="G61" s="22"/>
      <c r="H61" s="23"/>
      <c r="I61" s="22"/>
      <c r="J61" s="22"/>
      <c r="K61" s="22"/>
      <c r="L61" s="24"/>
      <c r="M61" s="22"/>
      <c r="N61" s="25"/>
    </row>
    <row r="62" spans="1:14" x14ac:dyDescent="0.3">
      <c r="B62" s="1" t="s">
        <v>75</v>
      </c>
      <c r="F62" s="14"/>
      <c r="G62" s="26">
        <f>+'CAC Bal Sheet'!G62+'AL Bal Sheet'!G62+'ESL Bal Sheet'!G62</f>
        <v>429011.99</v>
      </c>
      <c r="H62" s="27">
        <f>+'CAC Bal Sheet'!H62+'AL Bal Sheet'!H62+'ESL Bal Sheet'!H62</f>
        <v>435555.04</v>
      </c>
      <c r="I62" s="26">
        <f>+'CAC Bal Sheet'!I62+'AL Bal Sheet'!I62+'ESL Bal Sheet'!I62</f>
        <v>408177.20999999996</v>
      </c>
      <c r="J62" s="26">
        <f>+'CAC Bal Sheet'!J62+'AL Bal Sheet'!J62+'ESL Bal Sheet'!J62</f>
        <v>436598.83</v>
      </c>
      <c r="K62" s="26">
        <f>+'CAC Bal Sheet'!K62+'AL Bal Sheet'!K62+'ESL Bal Sheet'!K62</f>
        <v>461708.79000000004</v>
      </c>
      <c r="L62" s="28">
        <f>+'CAC Bal Sheet'!L62+'AL Bal Sheet'!L62+'ESL Bal Sheet'!L62</f>
        <v>457886.23</v>
      </c>
      <c r="M62" s="26">
        <f>IF($D$4=$H$5,H62-L62,IF($D$4=$I$5,I62-L62,IF($D$4=$J$5,J62-L62,K62-L62)))</f>
        <v>3822.5600000000559</v>
      </c>
      <c r="N62" s="29">
        <f>IF($D$4=$H$5,H62-G62,IF($D$4=$I$5,I62-G62,IF($D$4=$J$5,J62-G62,K62-G62)))</f>
        <v>32696.800000000047</v>
      </c>
    </row>
    <row r="63" spans="1:14" x14ac:dyDescent="0.3">
      <c r="F63" s="14"/>
      <c r="G63" s="22"/>
      <c r="H63" s="23"/>
      <c r="I63" s="22"/>
      <c r="J63" s="22"/>
      <c r="K63" s="22"/>
      <c r="L63" s="24"/>
      <c r="M63" s="22"/>
      <c r="N63" s="25"/>
    </row>
    <row r="64" spans="1:14" ht="14" thickBot="1" x14ac:dyDescent="0.35">
      <c r="A64" s="1" t="s">
        <v>129</v>
      </c>
      <c r="F64" s="20"/>
      <c r="G64" s="65">
        <f>+'CAC Bal Sheet'!G64+'AL Bal Sheet'!G64+'ESL Bal Sheet'!G64</f>
        <v>436777.99</v>
      </c>
      <c r="H64" s="72">
        <f>+'CAC Bal Sheet'!H64+'AL Bal Sheet'!H64+'ESL Bal Sheet'!H64</f>
        <v>443435.57</v>
      </c>
      <c r="I64" s="65">
        <f>+'CAC Bal Sheet'!I64+'AL Bal Sheet'!I64+'ESL Bal Sheet'!I64</f>
        <v>414139.20999999996</v>
      </c>
      <c r="J64" s="65">
        <f>+'CAC Bal Sheet'!J64+'AL Bal Sheet'!J64+'ESL Bal Sheet'!J64</f>
        <v>443717.83</v>
      </c>
      <c r="K64" s="65">
        <f>+'CAC Bal Sheet'!K64+'AL Bal Sheet'!K64+'ESL Bal Sheet'!K64</f>
        <v>473765.29000000004</v>
      </c>
      <c r="L64" s="64">
        <f>+'CAC Bal Sheet'!L64+'AL Bal Sheet'!L64+'ESL Bal Sheet'!L64</f>
        <v>463736.23</v>
      </c>
      <c r="M64" s="65">
        <f>IF($D$4=$H$5,H64-L64,IF($D$4=$I$5,I64-L64,IF($D$4=$J$5,J64-L64,K64-L64)))</f>
        <v>10029.060000000056</v>
      </c>
      <c r="N64" s="124">
        <f>IF($D$4=$H$5,H64-G64,IF($D$4=$I$5,I64-G64,IF($D$4=$J$5,J64-G64,K64-G64)))</f>
        <v>36987.300000000047</v>
      </c>
    </row>
    <row r="65" spans="1:14" ht="14" thickTop="1" x14ac:dyDescent="0.3">
      <c r="F65" s="10"/>
      <c r="G65" s="22"/>
      <c r="H65" s="22"/>
      <c r="I65" s="22"/>
      <c r="J65" s="22"/>
      <c r="K65" s="22"/>
      <c r="L65" s="22"/>
      <c r="M65" s="22"/>
      <c r="N65" s="22"/>
    </row>
    <row r="66" spans="1:14" x14ac:dyDescent="0.3">
      <c r="A66" t="s">
        <v>133</v>
      </c>
      <c r="F66" s="10"/>
      <c r="G66" s="125">
        <f>+G45-G64</f>
        <v>0</v>
      </c>
      <c r="H66" s="125">
        <f t="shared" ref="H66:N66" si="0">+H45-H64</f>
        <v>0</v>
      </c>
      <c r="I66" s="125">
        <f t="shared" si="0"/>
        <v>0</v>
      </c>
      <c r="J66" s="125">
        <f t="shared" si="0"/>
        <v>0.28999999997904524</v>
      </c>
      <c r="K66" s="125">
        <f t="shared" si="0"/>
        <v>4.9999999930150807E-2</v>
      </c>
      <c r="L66" s="125">
        <f t="shared" si="0"/>
        <v>0</v>
      </c>
      <c r="M66" s="125">
        <f t="shared" si="0"/>
        <v>4.9999999930150807E-2</v>
      </c>
      <c r="N66" s="125">
        <f t="shared" si="0"/>
        <v>4.9999999930150807E-2</v>
      </c>
    </row>
    <row r="70" spans="1:14" x14ac:dyDescent="0.3">
      <c r="A70" s="1" t="s">
        <v>119</v>
      </c>
      <c r="F70" s="17"/>
      <c r="G70" s="17"/>
      <c r="H70" s="17"/>
      <c r="I70" s="17"/>
      <c r="J70" s="17"/>
      <c r="K70" s="17"/>
    </row>
    <row r="71" spans="1:14" x14ac:dyDescent="0.3">
      <c r="B71" t="s">
        <v>121</v>
      </c>
      <c r="F71" s="13">
        <v>3115</v>
      </c>
      <c r="G71" s="95">
        <f>+'CAC Bal Sheet'!G71+'AL Bal Sheet'!G71+'ESL Bal Sheet'!G71</f>
        <v>7377</v>
      </c>
      <c r="H71" s="99">
        <f>+'CAC Bal Sheet'!H71+'AL Bal Sheet'!H71+'ESL Bal Sheet'!H71</f>
        <v>12654.22</v>
      </c>
      <c r="I71" s="95">
        <f>+'CAC Bal Sheet'!I71+'AL Bal Sheet'!I71+'ESL Bal Sheet'!I71</f>
        <v>12654</v>
      </c>
      <c r="J71" s="95">
        <f>+'CAC Bal Sheet'!J71+'AL Bal Sheet'!J71+'ESL Bal Sheet'!J71</f>
        <v>12654</v>
      </c>
      <c r="K71" s="126">
        <f>+'CAC Bal Sheet'!K71+'AL Bal Sheet'!K71+'ESL Bal Sheet'!K71</f>
        <v>12654</v>
      </c>
    </row>
    <row r="72" spans="1:14" x14ac:dyDescent="0.3">
      <c r="B72" t="s">
        <v>122</v>
      </c>
      <c r="F72" s="4">
        <v>3116</v>
      </c>
      <c r="G72" s="95">
        <f>+'CAC Bal Sheet'!G72+'AL Bal Sheet'!G72+'ESL Bal Sheet'!G72</f>
        <v>1000</v>
      </c>
      <c r="H72" s="99">
        <f>+'CAC Bal Sheet'!H72+'AL Bal Sheet'!H72+'ESL Bal Sheet'!H72</f>
        <v>1047.05</v>
      </c>
      <c r="I72" s="95">
        <f>+'CAC Bal Sheet'!I72+'AL Bal Sheet'!I72+'ESL Bal Sheet'!I72</f>
        <v>1047</v>
      </c>
      <c r="J72" s="95">
        <f>+'CAC Bal Sheet'!J72+'AL Bal Sheet'!J72+'ESL Bal Sheet'!J72</f>
        <v>1047</v>
      </c>
      <c r="K72" s="127">
        <f>+'CAC Bal Sheet'!K72+'AL Bal Sheet'!K72+'ESL Bal Sheet'!K72</f>
        <v>1047</v>
      </c>
    </row>
    <row r="73" spans="1:14" x14ac:dyDescent="0.3">
      <c r="B73" t="s">
        <v>123</v>
      </c>
      <c r="F73" s="4">
        <v>3112</v>
      </c>
      <c r="G73" s="95">
        <f>+'CAC Bal Sheet'!G73+'AL Bal Sheet'!G73+'ESL Bal Sheet'!G73</f>
        <v>8000</v>
      </c>
      <c r="H73" s="99">
        <f>+'CAC Bal Sheet'!H73+'AL Bal Sheet'!H73+'ESL Bal Sheet'!H73</f>
        <v>3374.35</v>
      </c>
      <c r="I73" s="95">
        <f>+'CAC Bal Sheet'!I73+'AL Bal Sheet'!I73+'ESL Bal Sheet'!I73</f>
        <v>3374</v>
      </c>
      <c r="J73" s="95">
        <f>+'CAC Bal Sheet'!J73+'AL Bal Sheet'!J73+'ESL Bal Sheet'!J73</f>
        <v>3374</v>
      </c>
      <c r="K73" s="127">
        <f>+'CAC Bal Sheet'!K73+'AL Bal Sheet'!K73+'ESL Bal Sheet'!K73</f>
        <v>3374</v>
      </c>
    </row>
    <row r="74" spans="1:14" x14ac:dyDescent="0.3">
      <c r="B74" t="s">
        <v>124</v>
      </c>
      <c r="F74" s="4">
        <v>3113</v>
      </c>
      <c r="G74" s="95">
        <f>+'CAC Bal Sheet'!G74+'AL Bal Sheet'!G74+'ESL Bal Sheet'!G74</f>
        <v>8881</v>
      </c>
      <c r="H74" s="99">
        <f>+'CAC Bal Sheet'!H74+'AL Bal Sheet'!H74+'ESL Bal Sheet'!H74</f>
        <v>13095</v>
      </c>
      <c r="I74" s="95">
        <f>+'CAC Bal Sheet'!I74+'AL Bal Sheet'!I74+'ESL Bal Sheet'!I74</f>
        <v>13095</v>
      </c>
      <c r="J74" s="95">
        <f>+'CAC Bal Sheet'!J74+'AL Bal Sheet'!J74+'ESL Bal Sheet'!J74</f>
        <v>13095</v>
      </c>
      <c r="K74" s="127">
        <f>+'CAC Bal Sheet'!K74+'AL Bal Sheet'!K74+'ESL Bal Sheet'!K74</f>
        <v>13095</v>
      </c>
    </row>
    <row r="75" spans="1:14" x14ac:dyDescent="0.3">
      <c r="B75" t="s">
        <v>85</v>
      </c>
      <c r="F75" s="4">
        <v>3117</v>
      </c>
      <c r="G75" s="95">
        <f>+'CAC Bal Sheet'!G75+'AL Bal Sheet'!G75+'ESL Bal Sheet'!G75</f>
        <v>0</v>
      </c>
      <c r="H75" s="99">
        <f>+'CAC Bal Sheet'!H75+'AL Bal Sheet'!H75+'ESL Bal Sheet'!H75</f>
        <v>0</v>
      </c>
      <c r="I75" s="95">
        <f>+'CAC Bal Sheet'!I75+'AL Bal Sheet'!I75+'ESL Bal Sheet'!I75</f>
        <v>0</v>
      </c>
      <c r="J75" s="95">
        <f>+'CAC Bal Sheet'!J75+'AL Bal Sheet'!J75+'ESL Bal Sheet'!J75</f>
        <v>0</v>
      </c>
      <c r="K75" s="127">
        <f>+'CAC Bal Sheet'!K75+'AL Bal Sheet'!K75+'ESL Bal Sheet'!K75</f>
        <v>0</v>
      </c>
    </row>
    <row r="76" spans="1:14" x14ac:dyDescent="0.3">
      <c r="B76" t="s">
        <v>86</v>
      </c>
      <c r="F76" s="4">
        <v>3118</v>
      </c>
      <c r="G76" s="95">
        <f>+'CAC Bal Sheet'!G76+'AL Bal Sheet'!G76+'ESL Bal Sheet'!G76</f>
        <v>0</v>
      </c>
      <c r="H76" s="99">
        <f>+'CAC Bal Sheet'!H76+'AL Bal Sheet'!H76+'ESL Bal Sheet'!H76</f>
        <v>0</v>
      </c>
      <c r="I76" s="95">
        <f>+'CAC Bal Sheet'!I76+'AL Bal Sheet'!I76+'ESL Bal Sheet'!I76</f>
        <v>0</v>
      </c>
      <c r="J76" s="95">
        <f>+'CAC Bal Sheet'!J76+'AL Bal Sheet'!J76+'ESL Bal Sheet'!J76</f>
        <v>0</v>
      </c>
      <c r="K76" s="127">
        <f>+'CAC Bal Sheet'!K76+'AL Bal Sheet'!K76+'ESL Bal Sheet'!K76</f>
        <v>0</v>
      </c>
    </row>
    <row r="77" spans="1:14" x14ac:dyDescent="0.3">
      <c r="B77" t="s">
        <v>22</v>
      </c>
      <c r="F77" s="4">
        <v>3119</v>
      </c>
      <c r="G77" s="95">
        <f>+'CAC Bal Sheet'!G77+'AL Bal Sheet'!G77+'ESL Bal Sheet'!G77</f>
        <v>624</v>
      </c>
      <c r="H77" s="99">
        <f>+'CAC Bal Sheet'!H77+'AL Bal Sheet'!H77+'ESL Bal Sheet'!H77</f>
        <v>4018.56</v>
      </c>
      <c r="I77" s="95">
        <f>+'CAC Bal Sheet'!I77+'AL Bal Sheet'!I77+'ESL Bal Sheet'!I77</f>
        <v>4658</v>
      </c>
      <c r="J77" s="95">
        <f>+'CAC Bal Sheet'!J77+'AL Bal Sheet'!J77+'ESL Bal Sheet'!J77</f>
        <v>4658</v>
      </c>
      <c r="K77" s="127">
        <f>+'CAC Bal Sheet'!K77+'AL Bal Sheet'!K77+'ESL Bal Sheet'!K77</f>
        <v>4658</v>
      </c>
    </row>
    <row r="78" spans="1:14" x14ac:dyDescent="0.3">
      <c r="B78" t="s">
        <v>24</v>
      </c>
      <c r="F78" s="4">
        <v>3120</v>
      </c>
      <c r="G78" s="95">
        <f>+'CAC Bal Sheet'!G78+'AL Bal Sheet'!G78+'ESL Bal Sheet'!G78</f>
        <v>0</v>
      </c>
      <c r="H78" s="99">
        <f>+'CAC Bal Sheet'!H78+'AL Bal Sheet'!H78+'ESL Bal Sheet'!H78</f>
        <v>2271.42</v>
      </c>
      <c r="I78" s="95">
        <f>+'CAC Bal Sheet'!I78+'AL Bal Sheet'!I78+'ESL Bal Sheet'!I78</f>
        <v>2271</v>
      </c>
      <c r="J78" s="95">
        <f>+'CAC Bal Sheet'!J78+'AL Bal Sheet'!J78+'ESL Bal Sheet'!J78</f>
        <v>2271</v>
      </c>
      <c r="K78" s="127">
        <f>+'CAC Bal Sheet'!K78+'AL Bal Sheet'!K78+'ESL Bal Sheet'!K78</f>
        <v>2271</v>
      </c>
    </row>
    <row r="79" spans="1:14" x14ac:dyDescent="0.3">
      <c r="B79" t="s">
        <v>25</v>
      </c>
      <c r="F79" s="4">
        <v>3121</v>
      </c>
      <c r="G79" s="95">
        <f>+'CAC Bal Sheet'!G79+'AL Bal Sheet'!G79+'ESL Bal Sheet'!G79</f>
        <v>0</v>
      </c>
      <c r="H79" s="99">
        <f>+'CAC Bal Sheet'!H79+'AL Bal Sheet'!H79+'ESL Bal Sheet'!H79</f>
        <v>0</v>
      </c>
      <c r="I79" s="95">
        <f>+'CAC Bal Sheet'!I79+'AL Bal Sheet'!I79+'ESL Bal Sheet'!I79</f>
        <v>0</v>
      </c>
      <c r="J79" s="95">
        <f>+'CAC Bal Sheet'!J79+'AL Bal Sheet'!J79+'ESL Bal Sheet'!J79</f>
        <v>0</v>
      </c>
      <c r="K79" s="127">
        <f>+'CAC Bal Sheet'!K79+'AL Bal Sheet'!K79+'ESL Bal Sheet'!K79</f>
        <v>0</v>
      </c>
    </row>
    <row r="80" spans="1:14" x14ac:dyDescent="0.3">
      <c r="B80" t="s">
        <v>148</v>
      </c>
      <c r="F80" s="4">
        <v>3122</v>
      </c>
      <c r="G80" s="95">
        <f>+'CAC Bal Sheet'!G80+'AL Bal Sheet'!G80+'ESL Bal Sheet'!G80</f>
        <v>0</v>
      </c>
      <c r="H80" s="99">
        <f>+'CAC Bal Sheet'!H80+'AL Bal Sheet'!H80+'ESL Bal Sheet'!H80</f>
        <v>0</v>
      </c>
      <c r="I80" s="95">
        <f>+'CAC Bal Sheet'!I80+'AL Bal Sheet'!I80+'ESL Bal Sheet'!I80</f>
        <v>0</v>
      </c>
      <c r="J80" s="95">
        <f>+'CAC Bal Sheet'!J80+'AL Bal Sheet'!J80+'ESL Bal Sheet'!J80</f>
        <v>0</v>
      </c>
      <c r="K80" s="127">
        <f>+'CAC Bal Sheet'!K80+'AL Bal Sheet'!K80+'ESL Bal Sheet'!K80</f>
        <v>0</v>
      </c>
    </row>
    <row r="81" spans="2:11" x14ac:dyDescent="0.3">
      <c r="B81" t="s">
        <v>28</v>
      </c>
      <c r="F81" s="4">
        <v>3123</v>
      </c>
      <c r="G81" s="95">
        <f>+'CAC Bal Sheet'!G81+'AL Bal Sheet'!G81+'ESL Bal Sheet'!G81</f>
        <v>0</v>
      </c>
      <c r="H81" s="99">
        <f>+'CAC Bal Sheet'!H81+'AL Bal Sheet'!H81+'ESL Bal Sheet'!H81</f>
        <v>778.83</v>
      </c>
      <c r="I81" s="95">
        <f>+'CAC Bal Sheet'!I81+'AL Bal Sheet'!I81+'ESL Bal Sheet'!I81</f>
        <v>779</v>
      </c>
      <c r="J81" s="95">
        <f>+'CAC Bal Sheet'!J81+'AL Bal Sheet'!J81+'ESL Bal Sheet'!J81</f>
        <v>779</v>
      </c>
      <c r="K81" s="127">
        <f>+'CAC Bal Sheet'!K81+'AL Bal Sheet'!K81+'ESL Bal Sheet'!K81</f>
        <v>779</v>
      </c>
    </row>
    <row r="82" spans="2:11" x14ac:dyDescent="0.3">
      <c r="B82" t="s">
        <v>321</v>
      </c>
      <c r="F82" s="4"/>
      <c r="G82" s="95"/>
      <c r="H82" s="99"/>
      <c r="I82" s="95">
        <f>+'CAC Bal Sheet'!I82+'AL Bal Sheet'!I82+'ESL Bal Sheet'!I82</f>
        <v>0</v>
      </c>
      <c r="J82" s="95">
        <f>+'CAC Bal Sheet'!J82+'AL Bal Sheet'!J82+'ESL Bal Sheet'!J82</f>
        <v>0</v>
      </c>
      <c r="K82" s="127">
        <f>+'CAC Bal Sheet'!K82+'AL Bal Sheet'!K82+'ESL Bal Sheet'!K82</f>
        <v>0</v>
      </c>
    </row>
    <row r="83" spans="2:11" x14ac:dyDescent="0.3">
      <c r="F83" s="97"/>
      <c r="G83" s="95"/>
      <c r="H83" s="99"/>
      <c r="I83" s="95"/>
      <c r="J83" s="95"/>
      <c r="K83" s="127"/>
    </row>
    <row r="84" spans="2:11" ht="14" thickBot="1" x14ac:dyDescent="0.35">
      <c r="B84" s="1" t="s">
        <v>30</v>
      </c>
      <c r="F84" s="98"/>
      <c r="G84" s="100">
        <f>SUM(G71:G83)</f>
        <v>25882</v>
      </c>
      <c r="H84" s="101">
        <f>SUM(H71:H83)</f>
        <v>37239.43</v>
      </c>
      <c r="I84" s="102">
        <f>SUM(I71:I83)</f>
        <v>37878</v>
      </c>
      <c r="J84" s="102">
        <f>SUM(J71:J83)</f>
        <v>37878</v>
      </c>
      <c r="K84" s="128">
        <f>SUM(K71:K83)</f>
        <v>37878</v>
      </c>
    </row>
    <row r="85" spans="2:11" ht="14" thickTop="1" x14ac:dyDescent="0.3"/>
  </sheetData>
  <sheetProtection algorithmName="SHA-512" hashValue="bR84AGqgQT7NLJD2ABy2CZPkGqexBOBAsz89FgxR5iU6lPXi1dvybbD8iFVEVWHO14Sj0rkiq/WZ+q3Zu1nkQg==" saltValue="PQPNNUu70BBVw38tw1LGTw==" spinCount="100000" sheet="1"/>
  <phoneticPr fontId="3" type="noConversion"/>
  <pageMargins left="0.75" right="0.75" top="0.5" bottom="1" header="0.5" footer="0.5"/>
  <pageSetup scale="75" fitToHeight="3" orientation="landscape" horizontalDpi="4294967292" verticalDpi="4294967292"/>
  <headerFooter alignWithMargins="0">
    <oddFooter>&amp;L&amp;F&amp;C&amp;D&amp;R&amp;A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27"/>
    <pageSetUpPr fitToPage="1"/>
  </sheetPr>
  <dimension ref="A1:Q31"/>
  <sheetViews>
    <sheetView zoomScaleNormal="100" workbookViewId="0"/>
  </sheetViews>
  <sheetFormatPr defaultColWidth="11.07421875" defaultRowHeight="13.5" x14ac:dyDescent="0.3"/>
  <cols>
    <col min="1" max="1" width="5.69140625" customWidth="1"/>
    <col min="2" max="2" width="5.07421875" customWidth="1"/>
    <col min="3" max="3" width="4.61328125" customWidth="1"/>
    <col min="4" max="4" width="4.3828125" customWidth="1"/>
    <col min="5" max="5" width="4.69140625" customWidth="1"/>
    <col min="6" max="6" width="7.61328125" customWidth="1"/>
    <col min="7" max="7" width="12" customWidth="1"/>
    <col min="10" max="10" width="12.07421875" customWidth="1"/>
    <col min="12" max="12" width="12" customWidth="1"/>
    <col min="13" max="13" width="12.07421875" customWidth="1"/>
  </cols>
  <sheetData>
    <row r="1" spans="1:17" ht="15" x14ac:dyDescent="0.3">
      <c r="A1" s="2" t="s">
        <v>193</v>
      </c>
    </row>
    <row r="2" spans="1:17" x14ac:dyDescent="0.3">
      <c r="A2" s="21" t="s">
        <v>84</v>
      </c>
    </row>
    <row r="3" spans="1:17" ht="14" thickBot="1" x14ac:dyDescent="0.35">
      <c r="A3" s="1" t="s">
        <v>272</v>
      </c>
      <c r="H3">
        <v>1</v>
      </c>
      <c r="I3">
        <v>2</v>
      </c>
      <c r="J3">
        <v>3</v>
      </c>
      <c r="K3">
        <v>4</v>
      </c>
    </row>
    <row r="4" spans="1:17" ht="14" thickBot="1" x14ac:dyDescent="0.35">
      <c r="A4" s="1" t="s">
        <v>35</v>
      </c>
      <c r="E4" s="36">
        <v>4</v>
      </c>
      <c r="G4" s="159" t="s">
        <v>30</v>
      </c>
      <c r="H4" s="9" t="s">
        <v>139</v>
      </c>
      <c r="I4" s="7" t="s">
        <v>139</v>
      </c>
      <c r="J4" s="7" t="s">
        <v>139</v>
      </c>
      <c r="K4" s="7" t="s">
        <v>139</v>
      </c>
      <c r="L4" s="171" t="s">
        <v>30</v>
      </c>
      <c r="M4" s="121" t="s">
        <v>20</v>
      </c>
      <c r="N4" s="172" t="s">
        <v>140</v>
      </c>
      <c r="O4" s="161" t="s">
        <v>141</v>
      </c>
    </row>
    <row r="5" spans="1:17" x14ac:dyDescent="0.3">
      <c r="G5" s="158">
        <v>40632</v>
      </c>
      <c r="H5" s="167">
        <v>40723</v>
      </c>
      <c r="I5" s="168">
        <v>40815</v>
      </c>
      <c r="J5" s="168">
        <v>40907</v>
      </c>
      <c r="K5" s="8">
        <v>40998</v>
      </c>
      <c r="L5" s="122" t="s">
        <v>433</v>
      </c>
      <c r="M5" s="118" t="s">
        <v>433</v>
      </c>
      <c r="N5" s="173" t="s">
        <v>20</v>
      </c>
      <c r="O5" s="163" t="s">
        <v>128</v>
      </c>
    </row>
    <row r="6" spans="1:17" x14ac:dyDescent="0.3">
      <c r="G6" s="104"/>
      <c r="H6" s="95"/>
      <c r="I6" s="95"/>
      <c r="J6" s="95"/>
      <c r="K6" s="95"/>
      <c r="L6" s="104"/>
      <c r="M6" s="94"/>
      <c r="N6" s="95"/>
      <c r="O6" s="96"/>
    </row>
    <row r="7" spans="1:17" x14ac:dyDescent="0.3">
      <c r="A7" s="1" t="s">
        <v>61</v>
      </c>
      <c r="G7" s="108">
        <f>'CAC CF Smt'!G7+'AL CF Smt'!G7+'ESL CF Smt'!G7</f>
        <v>301732.23009999999</v>
      </c>
      <c r="H7" s="109">
        <f>'CAC CF Smt'!H7+'AL CF Smt'!H7+'ESL CF Smt'!H7</f>
        <v>317233.41009999998</v>
      </c>
      <c r="I7" s="109">
        <f>'CAC CF Smt'!I7+'AL CF Smt'!I7+'ESL CF Smt'!I7</f>
        <v>324784.95010000002</v>
      </c>
      <c r="J7" s="109">
        <f>'CAC CF Smt'!J7+'AL CF Smt'!J7+'ESL CF Smt'!J7</f>
        <v>295361.2501</v>
      </c>
      <c r="K7" s="109">
        <f>'CAC CF Smt'!K7+'AL CF Smt'!K7+'ESL CF Smt'!K7</f>
        <v>325450.97009999998</v>
      </c>
      <c r="L7" s="108">
        <f>'CAC CF Smt'!L7+'AL CF Smt'!L7+'ESL CF Smt'!L7</f>
        <v>317233.41009999998</v>
      </c>
      <c r="M7" s="108">
        <f>'CAC CF Smt'!M7+'AL CF Smt'!M7+'ESL CF Smt'!M7</f>
        <v>317233.41009999998</v>
      </c>
      <c r="N7" s="109">
        <f>L7-M7</f>
        <v>0</v>
      </c>
      <c r="O7" s="110">
        <f>L7-G7</f>
        <v>15501.179999999993</v>
      </c>
      <c r="Q7" s="35"/>
    </row>
    <row r="8" spans="1:17" x14ac:dyDescent="0.3">
      <c r="G8" s="88"/>
      <c r="H8" s="89"/>
      <c r="I8" s="89"/>
      <c r="J8" s="89"/>
      <c r="K8" s="89"/>
      <c r="L8" s="88"/>
      <c r="M8" s="88"/>
      <c r="N8" s="89"/>
      <c r="O8" s="90"/>
    </row>
    <row r="9" spans="1:17" x14ac:dyDescent="0.3">
      <c r="A9" s="1" t="s">
        <v>65</v>
      </c>
      <c r="G9" s="91">
        <f>'CAC CF Smt'!G9+'AL CF Smt'!G9+'ESL CF Smt'!G9</f>
        <v>63866.71</v>
      </c>
      <c r="H9" s="92">
        <f>'CAC CF Smt'!H9+'AL CF Smt'!H9+'ESL CF Smt'!H9</f>
        <v>8226.010000000002</v>
      </c>
      <c r="I9" s="92">
        <f>'CAC CF Smt'!I9+'AL CF Smt'!I9+'ESL CF Smt'!I9</f>
        <v>4682.7600000000039</v>
      </c>
      <c r="J9" s="92">
        <f>'CAC CF Smt'!J9+'AL CF Smt'!J9+'ESL CF Smt'!J9</f>
        <v>9790.7900000000009</v>
      </c>
      <c r="K9" s="92">
        <f>'CAC CF Smt'!K9+'AL CF Smt'!K9+'ESL CF Smt'!K9</f>
        <v>24047.089999999997</v>
      </c>
      <c r="L9" s="91">
        <f>'CAC CF Smt'!L9+'AL CF Smt'!L9+'ESL CF Smt'!L9</f>
        <v>46746.65</v>
      </c>
      <c r="M9" s="91">
        <f>'CAC CF Smt'!M9+'AL CF Smt'!M9+'ESL CF Smt'!M9</f>
        <v>68022.820000000007</v>
      </c>
      <c r="N9" s="92">
        <f>L9-M9</f>
        <v>-21276.170000000006</v>
      </c>
      <c r="O9" s="93">
        <f>L9-G9</f>
        <v>-17120.059999999998</v>
      </c>
    </row>
    <row r="10" spans="1:17" x14ac:dyDescent="0.3">
      <c r="G10" s="94"/>
      <c r="H10" s="95"/>
      <c r="I10" s="95"/>
      <c r="J10" s="95"/>
      <c r="K10" s="95"/>
      <c r="L10" s="94"/>
      <c r="M10" s="94"/>
      <c r="N10" s="95"/>
      <c r="O10" s="96"/>
    </row>
    <row r="11" spans="1:17" x14ac:dyDescent="0.3">
      <c r="A11" s="1" t="s">
        <v>66</v>
      </c>
      <c r="G11" s="91">
        <f>'CAC CF Smt'!G11+'AL CF Smt'!G11+'ESL CF Smt'!G11</f>
        <v>-45358.53</v>
      </c>
      <c r="H11" s="92">
        <f>'CAC CF Smt'!H11+'AL CF Smt'!H11+'ESL CF Smt'!H11</f>
        <v>-789</v>
      </c>
      <c r="I11" s="92">
        <f>'CAC CF Smt'!I11+'AL CF Smt'!I11+'ESL CF Smt'!I11</f>
        <v>-10475.93</v>
      </c>
      <c r="J11" s="92">
        <f>'CAC CF Smt'!J11+'AL CF Smt'!J11+'ESL CF Smt'!J11</f>
        <v>-2210.0700000000002</v>
      </c>
      <c r="K11" s="92">
        <f>'CAC CF Smt'!K11+'AL CF Smt'!K11+'ESL CF Smt'!K11</f>
        <v>0</v>
      </c>
      <c r="L11" s="91">
        <f>'CAC CF Smt'!L11+'AL CF Smt'!L11+'ESL CF Smt'!L11</f>
        <v>-13475</v>
      </c>
      <c r="M11" s="91">
        <f>'CAC CF Smt'!M11+'AL CF Smt'!M11+'ESL CF Smt'!M11</f>
        <v>-40700</v>
      </c>
      <c r="N11" s="92">
        <f>L11-M11</f>
        <v>27225</v>
      </c>
      <c r="O11" s="93">
        <f>L11-G11</f>
        <v>31883.53</v>
      </c>
    </row>
    <row r="12" spans="1:17" x14ac:dyDescent="0.3">
      <c r="G12" s="94"/>
      <c r="H12" s="95"/>
      <c r="I12" s="95"/>
      <c r="J12" s="95"/>
      <c r="K12" s="95"/>
      <c r="L12" s="94"/>
      <c r="M12" s="94"/>
      <c r="N12" s="95"/>
      <c r="O12" s="96"/>
    </row>
    <row r="13" spans="1:17" x14ac:dyDescent="0.3">
      <c r="A13" s="1" t="s">
        <v>63</v>
      </c>
      <c r="G13" s="91">
        <f>'CAC CF Smt'!G13+'AL CF Smt'!G13+'ESL CF Smt'!G13</f>
        <v>-3007</v>
      </c>
      <c r="H13" s="92">
        <f>'CAC CF Smt'!H13+'AL CF Smt'!H13+'ESL CF Smt'!H13</f>
        <v>114.52999999999997</v>
      </c>
      <c r="I13" s="92">
        <f>'CAC CF Smt'!I13+'AL CF Smt'!I13+'ESL CF Smt'!I13</f>
        <v>-1918.53</v>
      </c>
      <c r="J13" s="92">
        <f>'CAC CF Smt'!J13+'AL CF Smt'!J13+'ESL CF Smt'!J13</f>
        <v>1157</v>
      </c>
      <c r="K13" s="92">
        <f>'CAC CF Smt'!K13+'AL CF Smt'!K13+'ESL CF Smt'!K13</f>
        <v>4937.5</v>
      </c>
      <c r="L13" s="91">
        <f>'CAC CF Smt'!L13+'AL CF Smt'!L13+'ESL CF Smt'!L13</f>
        <v>4290.5</v>
      </c>
      <c r="M13" s="91">
        <f>'CAC CF Smt'!M13+'AL CF Smt'!M13+'ESL CF Smt'!M13</f>
        <v>-820</v>
      </c>
      <c r="N13" s="92">
        <f>L13-M13</f>
        <v>5110.5</v>
      </c>
      <c r="O13" s="93">
        <f>L13-G13</f>
        <v>7297.5</v>
      </c>
    </row>
    <row r="14" spans="1:17" x14ac:dyDescent="0.3">
      <c r="G14" s="88"/>
      <c r="H14" s="89"/>
      <c r="I14" s="89"/>
      <c r="J14" s="89"/>
      <c r="K14" s="95"/>
      <c r="L14" s="94"/>
      <c r="M14" s="94"/>
      <c r="N14" s="95"/>
      <c r="O14" s="96"/>
    </row>
    <row r="15" spans="1:17" x14ac:dyDescent="0.3">
      <c r="G15" s="94"/>
      <c r="H15" s="95"/>
      <c r="I15" s="95"/>
      <c r="J15" s="95"/>
      <c r="K15" s="95"/>
      <c r="L15" s="94"/>
      <c r="M15" s="94"/>
      <c r="N15" s="95"/>
      <c r="O15" s="96"/>
    </row>
    <row r="16" spans="1:17" x14ac:dyDescent="0.3">
      <c r="A16" s="1" t="s">
        <v>64</v>
      </c>
      <c r="G16" s="91">
        <f>'CAC CF Smt'!G16+'AL CF Smt'!G16+'ESL CF Smt'!G16</f>
        <v>0</v>
      </c>
      <c r="H16" s="92">
        <f>'CAC CF Smt'!H16+'AL CF Smt'!H16+'ESL CF Smt'!H16</f>
        <v>0</v>
      </c>
      <c r="I16" s="92">
        <f>'CAC CF Smt'!I16+'AL CF Smt'!I16+'ESL CF Smt'!I16</f>
        <v>0</v>
      </c>
      <c r="J16" s="92">
        <f>'CAC CF Smt'!J16+'AL CF Smt'!J16+'ESL CF Smt'!J16</f>
        <v>0</v>
      </c>
      <c r="K16" s="92">
        <f>'CAC CF Smt'!K16+'AL CF Smt'!K16+'ESL CF Smt'!K16</f>
        <v>0</v>
      </c>
      <c r="L16" s="91">
        <f>'CAC CF Smt'!L16+'AL CF Smt'!L16+'ESL CF Smt'!L16</f>
        <v>0</v>
      </c>
      <c r="M16" s="91">
        <f>'CAC CF Smt'!M16+'AL CF Smt'!M16+'ESL CF Smt'!M16</f>
        <v>0</v>
      </c>
      <c r="N16" s="92">
        <f>L16-M16</f>
        <v>0</v>
      </c>
      <c r="O16" s="93">
        <f>L16-G16</f>
        <v>0</v>
      </c>
    </row>
    <row r="17" spans="1:15" x14ac:dyDescent="0.3">
      <c r="G17" s="94"/>
      <c r="H17" s="95"/>
      <c r="I17" s="95"/>
      <c r="J17" s="95"/>
      <c r="K17" s="95"/>
      <c r="L17" s="94"/>
      <c r="M17" s="94"/>
      <c r="N17" s="95"/>
      <c r="O17" s="96"/>
    </row>
    <row r="18" spans="1:15" x14ac:dyDescent="0.3">
      <c r="A18" s="1" t="s">
        <v>67</v>
      </c>
      <c r="G18" s="94"/>
      <c r="H18" s="95"/>
      <c r="I18" s="95"/>
      <c r="J18" s="95"/>
      <c r="K18" s="95"/>
      <c r="L18" s="94"/>
      <c r="M18" s="94"/>
      <c r="N18" s="95"/>
      <c r="O18" s="96"/>
    </row>
    <row r="19" spans="1:15" x14ac:dyDescent="0.3">
      <c r="B19" t="s">
        <v>27</v>
      </c>
      <c r="G19" s="94">
        <f>'CAC CF Smt'!G19+'AL CF Smt'!G19+'ESL CF Smt'!G19</f>
        <v>-18189</v>
      </c>
      <c r="H19" s="95">
        <f>'CAC CF Smt'!H19+'AL CF Smt'!H19+'ESL CF Smt'!H19</f>
        <v>-6000</v>
      </c>
      <c r="I19" s="95">
        <f>'CAC CF Smt'!I19+'AL CF Smt'!I19+'ESL CF Smt'!I19</f>
        <v>-12407</v>
      </c>
      <c r="J19" s="95">
        <f>'CAC CF Smt'!J19+'AL CF Smt'!J19+'ESL CF Smt'!J19</f>
        <v>0</v>
      </c>
      <c r="K19" s="95">
        <f>'CAC CF Smt'!K19+'AL CF Smt'!K19+'ESL CF Smt'!K19</f>
        <v>0</v>
      </c>
      <c r="L19" s="94">
        <f>'CAC CF Smt'!L19+'AL CF Smt'!L19+'ESL CF Smt'!L19</f>
        <v>-18407</v>
      </c>
      <c r="M19" s="94">
        <f>'CAC CF Smt'!M19+'AL CF Smt'!M19+'ESL CF Smt'!M19</f>
        <v>-18000</v>
      </c>
      <c r="N19" s="95">
        <f>L19-M19</f>
        <v>-407</v>
      </c>
      <c r="O19" s="96">
        <f>L19-G19</f>
        <v>-218</v>
      </c>
    </row>
    <row r="20" spans="1:15" x14ac:dyDescent="0.3">
      <c r="B20" t="s">
        <v>58</v>
      </c>
      <c r="G20" s="94">
        <f>'CAC CF Smt'!G20+'AL CF Smt'!G20+'ESL CF Smt'!G20</f>
        <v>-9141</v>
      </c>
      <c r="H20" s="95">
        <f>'CAC CF Smt'!H20+'AL CF Smt'!H20+'ESL CF Smt'!H20</f>
        <v>0</v>
      </c>
      <c r="I20" s="95">
        <f>'CAC CF Smt'!I20+'AL CF Smt'!I20+'ESL CF Smt'!I20</f>
        <v>-9305</v>
      </c>
      <c r="J20" s="95">
        <f>'CAC CF Smt'!J20+'AL CF Smt'!J20+'ESL CF Smt'!J20</f>
        <v>0</v>
      </c>
      <c r="K20" s="95">
        <f>'CAC CF Smt'!K20+'AL CF Smt'!K20+'ESL CF Smt'!K20</f>
        <v>0</v>
      </c>
      <c r="L20" s="94">
        <f>'CAC CF Smt'!L20+'AL CF Smt'!L20+'ESL CF Smt'!L20</f>
        <v>-9305</v>
      </c>
      <c r="M20" s="94">
        <f>'CAC CF Smt'!M20+'AL CF Smt'!M20+'ESL CF Smt'!M20</f>
        <v>-9200</v>
      </c>
      <c r="N20" s="95">
        <f>L20-M20</f>
        <v>-105</v>
      </c>
      <c r="O20" s="96">
        <f>L20-G20</f>
        <v>-164</v>
      </c>
    </row>
    <row r="21" spans="1:15" x14ac:dyDescent="0.3">
      <c r="B21" t="s">
        <v>59</v>
      </c>
      <c r="G21" s="94">
        <f>'CAC CF Smt'!G21+'AL CF Smt'!G21+'ESL CF Smt'!G21</f>
        <v>27330</v>
      </c>
      <c r="H21" s="95">
        <f>'CAC CF Smt'!H21+'AL CF Smt'!H21+'ESL CF Smt'!H21</f>
        <v>6000</v>
      </c>
      <c r="I21" s="95">
        <f>'CAC CF Smt'!I21+'AL CF Smt'!I21+'ESL CF Smt'!I21</f>
        <v>0</v>
      </c>
      <c r="J21" s="95">
        <f>'CAC CF Smt'!J21+'AL CF Smt'!J21+'ESL CF Smt'!J21</f>
        <v>21352</v>
      </c>
      <c r="K21" s="95">
        <f>'CAC CF Smt'!K21+'AL CF Smt'!K21+'ESL CF Smt'!K21</f>
        <v>360</v>
      </c>
      <c r="L21" s="94">
        <f>'CAC CF Smt'!L21+'AL CF Smt'!L21+'ESL CF Smt'!L21</f>
        <v>27712</v>
      </c>
      <c r="M21" s="94">
        <f>'CAC CF Smt'!M21+'AL CF Smt'!M21+'ESL CF Smt'!M21</f>
        <v>27200</v>
      </c>
      <c r="N21" s="95">
        <f>L21-M21</f>
        <v>512</v>
      </c>
      <c r="O21" s="96">
        <f>L21-G21</f>
        <v>382</v>
      </c>
    </row>
    <row r="22" spans="1:15" x14ac:dyDescent="0.3">
      <c r="G22" s="94"/>
      <c r="H22" s="95"/>
      <c r="I22" s="95"/>
      <c r="J22" s="95"/>
      <c r="K22" s="95"/>
      <c r="L22" s="94"/>
      <c r="M22" s="94"/>
      <c r="N22" s="95"/>
      <c r="O22" s="96"/>
    </row>
    <row r="23" spans="1:15" x14ac:dyDescent="0.3">
      <c r="B23" s="1" t="s">
        <v>60</v>
      </c>
      <c r="G23" s="91">
        <f>SUM(G19:G22)</f>
        <v>0</v>
      </c>
      <c r="H23" s="92">
        <f t="shared" ref="H23:M23" si="0">SUM(H19:H22)</f>
        <v>0</v>
      </c>
      <c r="I23" s="92">
        <f t="shared" si="0"/>
        <v>-21712</v>
      </c>
      <c r="J23" s="92">
        <f t="shared" si="0"/>
        <v>21352</v>
      </c>
      <c r="K23" s="92">
        <f t="shared" si="0"/>
        <v>360</v>
      </c>
      <c r="L23" s="91">
        <f t="shared" si="0"/>
        <v>0</v>
      </c>
      <c r="M23" s="91">
        <f t="shared" si="0"/>
        <v>0</v>
      </c>
      <c r="N23" s="92">
        <f>L23-M23</f>
        <v>0</v>
      </c>
      <c r="O23" s="93">
        <f>L23-G23</f>
        <v>0</v>
      </c>
    </row>
    <row r="24" spans="1:15" x14ac:dyDescent="0.3">
      <c r="G24" s="88"/>
      <c r="H24" s="89"/>
      <c r="I24" s="89"/>
      <c r="J24" s="89"/>
      <c r="K24" s="89"/>
      <c r="L24" s="88"/>
      <c r="M24" s="88"/>
      <c r="N24" s="89"/>
      <c r="O24" s="90"/>
    </row>
    <row r="25" spans="1:15" ht="14" thickBot="1" x14ac:dyDescent="0.35">
      <c r="A25" s="1" t="s">
        <v>62</v>
      </c>
      <c r="G25" s="111">
        <f t="shared" ref="G25:M25" si="1">+G7+G9+G11+G13+G16+G23</f>
        <v>317233.41009999998</v>
      </c>
      <c r="H25" s="112">
        <f t="shared" si="1"/>
        <v>324784.95010000002</v>
      </c>
      <c r="I25" s="112">
        <f t="shared" si="1"/>
        <v>295361.2501</v>
      </c>
      <c r="J25" s="112">
        <f t="shared" si="1"/>
        <v>325450.97009999998</v>
      </c>
      <c r="K25" s="112">
        <f t="shared" si="1"/>
        <v>354795.5601</v>
      </c>
      <c r="L25" s="111">
        <f t="shared" si="1"/>
        <v>354795.5601</v>
      </c>
      <c r="M25" s="111">
        <f t="shared" si="1"/>
        <v>343736.23009999999</v>
      </c>
      <c r="N25" s="112">
        <f>L25-M25</f>
        <v>11059.330000000016</v>
      </c>
      <c r="O25" s="113">
        <f>L25-G25</f>
        <v>37562.150000000023</v>
      </c>
    </row>
    <row r="26" spans="1:15" ht="14" thickTop="1" x14ac:dyDescent="0.3">
      <c r="G26" s="95"/>
      <c r="H26" s="95"/>
      <c r="I26" s="95"/>
      <c r="J26" s="95"/>
      <c r="K26" s="95"/>
      <c r="L26" s="95"/>
      <c r="M26" s="95"/>
      <c r="N26" s="95"/>
      <c r="O26" s="95"/>
    </row>
    <row r="27" spans="1:15" x14ac:dyDescent="0.3">
      <c r="G27" s="95"/>
      <c r="H27" s="95"/>
      <c r="I27" s="95"/>
      <c r="J27" s="95"/>
      <c r="K27" s="95"/>
      <c r="L27" s="95"/>
      <c r="M27" s="95"/>
      <c r="N27" s="95"/>
      <c r="O27" s="95"/>
    </row>
    <row r="28" spans="1:15" x14ac:dyDescent="0.3">
      <c r="A28" t="s">
        <v>71</v>
      </c>
      <c r="G28" s="89"/>
      <c r="H28" s="89"/>
      <c r="I28" s="89"/>
      <c r="J28" s="89"/>
      <c r="K28" s="89"/>
      <c r="L28" s="89"/>
      <c r="M28" s="89"/>
      <c r="N28" s="89"/>
      <c r="O28" s="89"/>
    </row>
    <row r="29" spans="1:15" x14ac:dyDescent="0.3">
      <c r="B29" t="s">
        <v>72</v>
      </c>
      <c r="G29" s="95">
        <f>+'Consol Bal Sheet'!G31</f>
        <v>317233.28000000003</v>
      </c>
      <c r="H29" s="95">
        <f>+'Consol Bal Sheet'!H31</f>
        <v>324784.92</v>
      </c>
      <c r="I29" s="95">
        <f>+'Consol Bal Sheet'!I31</f>
        <v>295360.83999999997</v>
      </c>
      <c r="J29" s="95">
        <f>+'Consol Bal Sheet'!J31</f>
        <v>325450.64</v>
      </c>
      <c r="K29" s="95">
        <f>+'Consol Bal Sheet'!K31</f>
        <v>354795.38</v>
      </c>
      <c r="L29" s="95">
        <f>+'Consol Bal Sheet'!K31</f>
        <v>354795.38</v>
      </c>
      <c r="M29" s="95">
        <f>+'Consol Bal Sheet'!L31</f>
        <v>343736.23</v>
      </c>
      <c r="N29" s="95"/>
      <c r="O29" s="95"/>
    </row>
    <row r="30" spans="1:15" ht="14" thickBot="1" x14ac:dyDescent="0.35">
      <c r="B30" t="s">
        <v>73</v>
      </c>
      <c r="G30" s="107">
        <f t="shared" ref="G30:L30" si="2">IF(ABS(+G25-G29)&lt;1,0,G25-G29)</f>
        <v>0</v>
      </c>
      <c r="H30" s="107">
        <f t="shared" si="2"/>
        <v>0</v>
      </c>
      <c r="I30" s="107">
        <f t="shared" si="2"/>
        <v>0</v>
      </c>
      <c r="J30" s="107">
        <f t="shared" si="2"/>
        <v>0</v>
      </c>
      <c r="K30" s="107">
        <f t="shared" si="2"/>
        <v>0</v>
      </c>
      <c r="L30" s="107">
        <f t="shared" si="2"/>
        <v>0</v>
      </c>
      <c r="M30" s="107">
        <f>+M25-M29</f>
        <v>1.0000000474974513E-4</v>
      </c>
      <c r="N30" s="89"/>
      <c r="O30" s="89"/>
    </row>
    <row r="31" spans="1:15" ht="14" thickTop="1" x14ac:dyDescent="0.3"/>
  </sheetData>
  <phoneticPr fontId="3" type="noConversion"/>
  <pageMargins left="0.75" right="0.75" top="1" bottom="1" header="0.5" footer="0.5"/>
  <pageSetup scale="73" orientation="landscape" horizontalDpi="4294967292" verticalDpi="4294967292" r:id="rId1"/>
  <headerFooter alignWithMargins="0">
    <oddFooter>&amp;L&amp;F&amp;C&amp;D&amp;R&amp;A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9"/>
    <pageSetUpPr fitToPage="1"/>
  </sheetPr>
  <dimension ref="A1:U175"/>
  <sheetViews>
    <sheetView zoomScaleNormal="100" workbookViewId="0">
      <pane xSplit="5" ySplit="6" topLeftCell="H7" activePane="bottomRight" state="frozen"/>
      <selection activeCell="E96" sqref="E95:E96"/>
      <selection pane="topRight" activeCell="E96" sqref="E95:E96"/>
      <selection pane="bottomLeft" activeCell="E96" sqref="E95:E96"/>
      <selection pane="bottomRight" activeCell="O96" activeCellId="1" sqref="O88 O96"/>
    </sheetView>
  </sheetViews>
  <sheetFormatPr defaultColWidth="11.07421875" defaultRowHeight="13.5" outlineLevelRow="1" outlineLevelCol="1" x14ac:dyDescent="0.3"/>
  <cols>
    <col min="1" max="2" width="4.69140625" customWidth="1"/>
    <col min="3" max="3" width="6.3828125" customWidth="1"/>
    <col min="4" max="4" width="4.07421875" customWidth="1"/>
    <col min="5" max="5" width="14.61328125" customWidth="1"/>
    <col min="6" max="6" width="7.69140625" customWidth="1"/>
    <col min="7" max="7" width="11.921875" customWidth="1"/>
    <col min="8" max="9" width="11.921875" customWidth="1" outlineLevel="1"/>
    <col min="10" max="10" width="12.921875" customWidth="1" outlineLevel="1"/>
    <col min="11" max="11" width="11.921875" customWidth="1" outlineLevel="1"/>
    <col min="12" max="12" width="12" customWidth="1"/>
    <col min="14" max="14" width="12.07421875" customWidth="1"/>
    <col min="16" max="16" width="12.69140625" customWidth="1"/>
    <col min="17" max="17" width="12" customWidth="1"/>
    <col min="19" max="19" width="10.07421875" style="220" customWidth="1"/>
    <col min="21" max="21" width="11.07421875" style="220"/>
  </cols>
  <sheetData>
    <row r="1" spans="1:21" ht="15" x14ac:dyDescent="0.3">
      <c r="A1" s="2" t="s">
        <v>193</v>
      </c>
    </row>
    <row r="2" spans="1:21" x14ac:dyDescent="0.3">
      <c r="A2" s="21" t="s">
        <v>83</v>
      </c>
    </row>
    <row r="3" spans="1:21" ht="14" thickBot="1" x14ac:dyDescent="0.35">
      <c r="A3" s="1" t="s">
        <v>130</v>
      </c>
    </row>
    <row r="4" spans="1:21" ht="14" thickBot="1" x14ac:dyDescent="0.35">
      <c r="A4" s="1" t="s">
        <v>35</v>
      </c>
      <c r="D4" s="36">
        <v>4</v>
      </c>
    </row>
    <row r="5" spans="1:21" x14ac:dyDescent="0.3">
      <c r="A5" s="1"/>
      <c r="F5" s="11" t="s">
        <v>217</v>
      </c>
      <c r="G5" s="119" t="s">
        <v>269</v>
      </c>
      <c r="H5" s="9" t="s">
        <v>131</v>
      </c>
      <c r="I5" s="7" t="s">
        <v>132</v>
      </c>
      <c r="J5" s="7" t="s">
        <v>132</v>
      </c>
      <c r="K5" s="7" t="s">
        <v>132</v>
      </c>
      <c r="L5" s="5" t="s">
        <v>139</v>
      </c>
      <c r="M5" s="6" t="s">
        <v>139</v>
      </c>
      <c r="N5" s="6" t="s">
        <v>139</v>
      </c>
      <c r="O5" s="6" t="s">
        <v>139</v>
      </c>
      <c r="P5" s="117" t="s">
        <v>138</v>
      </c>
      <c r="Q5" s="114" t="s">
        <v>20</v>
      </c>
      <c r="R5" s="115" t="s">
        <v>140</v>
      </c>
      <c r="S5" s="244" t="s">
        <v>140</v>
      </c>
      <c r="T5" s="245" t="s">
        <v>141</v>
      </c>
      <c r="U5" s="246" t="s">
        <v>271</v>
      </c>
    </row>
    <row r="6" spans="1:21" x14ac:dyDescent="0.3">
      <c r="F6" s="12" t="s">
        <v>218</v>
      </c>
      <c r="G6" s="120" t="s">
        <v>423</v>
      </c>
      <c r="H6" s="167">
        <v>40723</v>
      </c>
      <c r="I6" s="168">
        <v>40815</v>
      </c>
      <c r="J6" s="168">
        <v>40907</v>
      </c>
      <c r="K6" s="168">
        <v>40998</v>
      </c>
      <c r="L6" s="167">
        <v>40723</v>
      </c>
      <c r="M6" s="168">
        <v>40815</v>
      </c>
      <c r="N6" s="168">
        <v>40907</v>
      </c>
      <c r="O6" s="168">
        <v>40998</v>
      </c>
      <c r="P6" s="174" t="s">
        <v>433</v>
      </c>
      <c r="Q6" s="175" t="s">
        <v>433</v>
      </c>
      <c r="R6" s="116" t="s">
        <v>17</v>
      </c>
      <c r="S6" s="247" t="s">
        <v>18</v>
      </c>
      <c r="T6" s="248" t="s">
        <v>19</v>
      </c>
      <c r="U6" s="249" t="s">
        <v>111</v>
      </c>
    </row>
    <row r="7" spans="1:21" x14ac:dyDescent="0.3">
      <c r="A7" s="1" t="s">
        <v>194</v>
      </c>
      <c r="B7" s="1"/>
      <c r="F7" s="13"/>
      <c r="G7" s="24"/>
      <c r="H7" s="22"/>
      <c r="I7" s="22"/>
      <c r="J7" s="22"/>
      <c r="K7" s="22"/>
      <c r="L7" s="40"/>
      <c r="M7" s="22"/>
      <c r="N7" s="22"/>
      <c r="O7" s="22"/>
      <c r="P7" s="23"/>
      <c r="Q7" s="81"/>
      <c r="R7" s="41"/>
      <c r="S7" s="257"/>
      <c r="T7" s="74"/>
      <c r="U7" s="259"/>
    </row>
    <row r="8" spans="1:21" x14ac:dyDescent="0.3">
      <c r="A8" s="1"/>
      <c r="B8" s="1" t="s">
        <v>3</v>
      </c>
      <c r="F8" s="14"/>
      <c r="G8" s="44">
        <v>0</v>
      </c>
      <c r="H8" s="45">
        <f>SUM(H9:H18)</f>
        <v>0</v>
      </c>
      <c r="I8" s="45">
        <f t="shared" ref="I8:P8" si="0">SUM(I9:I18)</f>
        <v>0</v>
      </c>
      <c r="J8" s="45">
        <f t="shared" si="0"/>
        <v>0</v>
      </c>
      <c r="K8" s="45">
        <f t="shared" si="0"/>
        <v>0</v>
      </c>
      <c r="L8" s="46">
        <f t="shared" si="0"/>
        <v>0</v>
      </c>
      <c r="M8" s="45">
        <f t="shared" si="0"/>
        <v>0</v>
      </c>
      <c r="N8" s="45">
        <f t="shared" si="0"/>
        <v>0</v>
      </c>
      <c r="O8" s="45">
        <f t="shared" si="0"/>
        <v>0</v>
      </c>
      <c r="P8" s="68">
        <f t="shared" si="0"/>
        <v>0</v>
      </c>
      <c r="Q8" s="82">
        <f>SUM(Q9:Q18)</f>
        <v>0</v>
      </c>
      <c r="R8" s="47">
        <f>SUM(R9:R18)</f>
        <v>0</v>
      </c>
      <c r="S8" s="267" t="str">
        <f t="shared" ref="S8:S16" si="1">IF(Q8=0,"",P8/Q8)</f>
        <v/>
      </c>
      <c r="T8" s="75">
        <f>SUM(T9:T18)</f>
        <v>0</v>
      </c>
      <c r="U8" s="269" t="str">
        <f t="shared" ref="U8:U17" si="2">IF(G8=0,"",P8/G8)</f>
        <v/>
      </c>
    </row>
    <row r="9" spans="1:21" hidden="1" outlineLevel="1" x14ac:dyDescent="0.3">
      <c r="C9" t="s">
        <v>109</v>
      </c>
      <c r="F9" s="14"/>
      <c r="G9" s="24">
        <v>0</v>
      </c>
      <c r="H9" s="22"/>
      <c r="I9" s="22"/>
      <c r="J9" s="22"/>
      <c r="K9" s="22"/>
      <c r="L9" s="42">
        <f t="shared" ref="L9:L17" si="3">+H9</f>
        <v>0</v>
      </c>
      <c r="M9" s="22">
        <f t="shared" ref="M9:M17" si="4">IF(I9=0,0,I9-H9)</f>
        <v>0</v>
      </c>
      <c r="N9" s="22">
        <f t="shared" ref="N9:N17" si="5">IF(J9=0,0,J9-I9)</f>
        <v>0</v>
      </c>
      <c r="O9" s="22">
        <f t="shared" ref="O9:O17" si="6">IF(K9=0,0,K9-J9)</f>
        <v>0</v>
      </c>
      <c r="P9" s="23">
        <f>SUM(L9:O9)</f>
        <v>0</v>
      </c>
      <c r="Q9" s="81"/>
      <c r="R9" s="41">
        <f>P9-Q9</f>
        <v>0</v>
      </c>
      <c r="S9" s="272" t="str">
        <f t="shared" si="1"/>
        <v/>
      </c>
      <c r="T9" s="74">
        <f t="shared" ref="T9:T17" si="7">P9-G9</f>
        <v>0</v>
      </c>
      <c r="U9" s="273" t="str">
        <f t="shared" si="2"/>
        <v/>
      </c>
    </row>
    <row r="10" spans="1:21" hidden="1" outlineLevel="1" x14ac:dyDescent="0.3">
      <c r="C10" t="s">
        <v>110</v>
      </c>
      <c r="F10" s="14" t="s">
        <v>203</v>
      </c>
      <c r="G10" s="24">
        <v>0</v>
      </c>
      <c r="H10" s="22"/>
      <c r="I10" s="22"/>
      <c r="J10" s="22"/>
      <c r="K10" s="22"/>
      <c r="L10" s="42">
        <f t="shared" si="3"/>
        <v>0</v>
      </c>
      <c r="M10" s="22">
        <f t="shared" si="4"/>
        <v>0</v>
      </c>
      <c r="N10" s="22">
        <f t="shared" si="5"/>
        <v>0</v>
      </c>
      <c r="O10" s="22">
        <f t="shared" si="6"/>
        <v>0</v>
      </c>
      <c r="P10" s="23">
        <f>SUM(L10:O10)</f>
        <v>0</v>
      </c>
      <c r="Q10" s="81"/>
      <c r="R10" s="41">
        <f t="shared" ref="R10:R17" si="8">P10-Q10</f>
        <v>0</v>
      </c>
      <c r="S10" s="272" t="str">
        <f t="shared" si="1"/>
        <v/>
      </c>
      <c r="T10" s="74">
        <f t="shared" si="7"/>
        <v>0</v>
      </c>
      <c r="U10" s="273" t="str">
        <f t="shared" si="2"/>
        <v/>
      </c>
    </row>
    <row r="11" spans="1:21" hidden="1" outlineLevel="1" x14ac:dyDescent="0.3">
      <c r="C11" s="156" t="s">
        <v>260</v>
      </c>
      <c r="F11" s="14"/>
      <c r="G11" s="24">
        <v>0</v>
      </c>
      <c r="H11" s="22"/>
      <c r="I11" s="22"/>
      <c r="J11" s="22"/>
      <c r="K11" s="22"/>
      <c r="L11" s="42">
        <f t="shared" si="3"/>
        <v>0</v>
      </c>
      <c r="M11" s="22">
        <f t="shared" si="4"/>
        <v>0</v>
      </c>
      <c r="N11" s="22">
        <f t="shared" si="5"/>
        <v>0</v>
      </c>
      <c r="O11" s="22">
        <f t="shared" si="6"/>
        <v>0</v>
      </c>
      <c r="P11" s="23">
        <f t="shared" ref="P11:P17" si="9">SUM(L11:O11)</f>
        <v>0</v>
      </c>
      <c r="Q11" s="81"/>
      <c r="R11" s="41">
        <f t="shared" si="8"/>
        <v>0</v>
      </c>
      <c r="S11" s="272" t="str">
        <f t="shared" si="1"/>
        <v/>
      </c>
      <c r="T11" s="74">
        <f t="shared" si="7"/>
        <v>0</v>
      </c>
      <c r="U11" s="273" t="str">
        <f t="shared" si="2"/>
        <v/>
      </c>
    </row>
    <row r="12" spans="1:21" hidden="1" outlineLevel="1" x14ac:dyDescent="0.3">
      <c r="C12" t="s">
        <v>258</v>
      </c>
      <c r="F12" s="14"/>
      <c r="G12" s="24">
        <v>0</v>
      </c>
      <c r="H12" s="22"/>
      <c r="I12" s="22"/>
      <c r="J12" s="22"/>
      <c r="K12" s="22"/>
      <c r="L12" s="42">
        <f t="shared" si="3"/>
        <v>0</v>
      </c>
      <c r="M12" s="22">
        <f t="shared" si="4"/>
        <v>0</v>
      </c>
      <c r="N12" s="22">
        <f t="shared" si="5"/>
        <v>0</v>
      </c>
      <c r="O12" s="22">
        <f t="shared" si="6"/>
        <v>0</v>
      </c>
      <c r="P12" s="23">
        <f t="shared" si="9"/>
        <v>0</v>
      </c>
      <c r="Q12" s="81"/>
      <c r="R12" s="41">
        <f t="shared" si="8"/>
        <v>0</v>
      </c>
      <c r="S12" s="272" t="str">
        <f t="shared" si="1"/>
        <v/>
      </c>
      <c r="T12" s="74">
        <f t="shared" si="7"/>
        <v>0</v>
      </c>
      <c r="U12" s="273" t="str">
        <f t="shared" si="2"/>
        <v/>
      </c>
    </row>
    <row r="13" spans="1:21" hidden="1" outlineLevel="1" x14ac:dyDescent="0.3">
      <c r="C13" t="s">
        <v>259</v>
      </c>
      <c r="F13" s="14"/>
      <c r="G13" s="24">
        <v>0</v>
      </c>
      <c r="H13" s="22"/>
      <c r="I13" s="22"/>
      <c r="J13" s="22"/>
      <c r="K13" s="22"/>
      <c r="L13" s="42">
        <f t="shared" si="3"/>
        <v>0</v>
      </c>
      <c r="M13" s="22">
        <f t="shared" si="4"/>
        <v>0</v>
      </c>
      <c r="N13" s="22">
        <f t="shared" si="5"/>
        <v>0</v>
      </c>
      <c r="O13" s="22">
        <f t="shared" si="6"/>
        <v>0</v>
      </c>
      <c r="P13" s="23">
        <f t="shared" si="9"/>
        <v>0</v>
      </c>
      <c r="Q13" s="81"/>
      <c r="R13" s="41">
        <f t="shared" si="8"/>
        <v>0</v>
      </c>
      <c r="S13" s="272" t="str">
        <f t="shared" si="1"/>
        <v/>
      </c>
      <c r="T13" s="74">
        <f t="shared" si="7"/>
        <v>0</v>
      </c>
      <c r="U13" s="273" t="str">
        <f t="shared" si="2"/>
        <v/>
      </c>
    </row>
    <row r="14" spans="1:21" hidden="1" outlineLevel="1" x14ac:dyDescent="0.3">
      <c r="C14" t="s">
        <v>0</v>
      </c>
      <c r="F14" s="14">
        <v>5490</v>
      </c>
      <c r="G14" s="24">
        <v>0</v>
      </c>
      <c r="H14" s="22"/>
      <c r="I14" s="22"/>
      <c r="J14" s="22"/>
      <c r="K14" s="22"/>
      <c r="L14" s="42">
        <f t="shared" si="3"/>
        <v>0</v>
      </c>
      <c r="M14" s="22">
        <f t="shared" si="4"/>
        <v>0</v>
      </c>
      <c r="N14" s="22">
        <f t="shared" si="5"/>
        <v>0</v>
      </c>
      <c r="O14" s="22">
        <f t="shared" si="6"/>
        <v>0</v>
      </c>
      <c r="P14" s="23">
        <f t="shared" si="9"/>
        <v>0</v>
      </c>
      <c r="Q14" s="81"/>
      <c r="R14" s="41">
        <f t="shared" si="8"/>
        <v>0</v>
      </c>
      <c r="S14" s="272" t="str">
        <f t="shared" si="1"/>
        <v/>
      </c>
      <c r="T14" s="74">
        <f t="shared" si="7"/>
        <v>0</v>
      </c>
      <c r="U14" s="273" t="str">
        <f t="shared" si="2"/>
        <v/>
      </c>
    </row>
    <row r="15" spans="1:21" hidden="1" outlineLevel="1" x14ac:dyDescent="0.3">
      <c r="C15" s="176" t="s">
        <v>421</v>
      </c>
      <c r="F15" s="14"/>
      <c r="G15" s="24">
        <v>0</v>
      </c>
      <c r="H15" s="22"/>
      <c r="I15" s="22"/>
      <c r="J15" s="22"/>
      <c r="K15" s="22"/>
      <c r="L15" s="42">
        <f t="shared" si="3"/>
        <v>0</v>
      </c>
      <c r="M15" s="22">
        <f t="shared" si="4"/>
        <v>0</v>
      </c>
      <c r="N15" s="22">
        <f t="shared" si="5"/>
        <v>0</v>
      </c>
      <c r="O15" s="22">
        <f t="shared" si="6"/>
        <v>0</v>
      </c>
      <c r="P15" s="23">
        <f t="shared" si="9"/>
        <v>0</v>
      </c>
      <c r="Q15" s="81"/>
      <c r="R15" s="41">
        <f t="shared" si="8"/>
        <v>0</v>
      </c>
      <c r="S15" s="272" t="str">
        <f t="shared" si="1"/>
        <v/>
      </c>
      <c r="T15" s="74">
        <f t="shared" si="7"/>
        <v>0</v>
      </c>
      <c r="U15" s="273" t="str">
        <f t="shared" si="2"/>
        <v/>
      </c>
    </row>
    <row r="16" spans="1:21" hidden="1" outlineLevel="1" x14ac:dyDescent="0.3">
      <c r="F16" s="14"/>
      <c r="G16" s="24">
        <v>0</v>
      </c>
      <c r="H16" s="22"/>
      <c r="I16" s="22"/>
      <c r="J16" s="22"/>
      <c r="K16" s="22"/>
      <c r="L16" s="42">
        <f t="shared" si="3"/>
        <v>0</v>
      </c>
      <c r="M16" s="22">
        <f t="shared" si="4"/>
        <v>0</v>
      </c>
      <c r="N16" s="22">
        <f t="shared" si="5"/>
        <v>0</v>
      </c>
      <c r="O16" s="22">
        <f t="shared" si="6"/>
        <v>0</v>
      </c>
      <c r="P16" s="23">
        <f t="shared" si="9"/>
        <v>0</v>
      </c>
      <c r="Q16" s="81"/>
      <c r="R16" s="41">
        <f t="shared" si="8"/>
        <v>0</v>
      </c>
      <c r="S16" s="272" t="str">
        <f t="shared" si="1"/>
        <v/>
      </c>
      <c r="T16" s="74">
        <f t="shared" si="7"/>
        <v>0</v>
      </c>
      <c r="U16" s="273" t="str">
        <f t="shared" si="2"/>
        <v/>
      </c>
    </row>
    <row r="17" spans="2:21" hidden="1" outlineLevel="1" x14ac:dyDescent="0.3">
      <c r="F17" s="14"/>
      <c r="G17" s="24">
        <v>0</v>
      </c>
      <c r="H17" s="22"/>
      <c r="I17" s="22"/>
      <c r="J17" s="22"/>
      <c r="K17" s="22"/>
      <c r="L17" s="42">
        <f t="shared" si="3"/>
        <v>0</v>
      </c>
      <c r="M17" s="22">
        <f t="shared" si="4"/>
        <v>0</v>
      </c>
      <c r="N17" s="22">
        <f t="shared" si="5"/>
        <v>0</v>
      </c>
      <c r="O17" s="22">
        <f t="shared" si="6"/>
        <v>0</v>
      </c>
      <c r="P17" s="23">
        <f t="shared" si="9"/>
        <v>0</v>
      </c>
      <c r="Q17" s="81"/>
      <c r="R17" s="41">
        <f t="shared" si="8"/>
        <v>0</v>
      </c>
      <c r="S17" s="257"/>
      <c r="T17" s="74">
        <f t="shared" si="7"/>
        <v>0</v>
      </c>
      <c r="U17" s="275" t="str">
        <f t="shared" si="2"/>
        <v/>
      </c>
    </row>
    <row r="18" spans="2:21" hidden="1" outlineLevel="1" x14ac:dyDescent="0.3">
      <c r="F18" s="14"/>
      <c r="G18" s="24"/>
      <c r="H18" s="22"/>
      <c r="I18" s="22"/>
      <c r="J18" s="22"/>
      <c r="K18" s="22"/>
      <c r="L18" s="42"/>
      <c r="M18" s="22"/>
      <c r="N18" s="22"/>
      <c r="O18" s="22"/>
      <c r="P18" s="23"/>
      <c r="Q18" s="81"/>
      <c r="R18" s="41"/>
      <c r="S18" s="257"/>
      <c r="T18" s="74"/>
      <c r="U18" s="259"/>
    </row>
    <row r="19" spans="2:21" hidden="1" outlineLevel="1" x14ac:dyDescent="0.3">
      <c r="F19" s="14"/>
      <c r="G19" s="24"/>
      <c r="H19" s="22"/>
      <c r="I19" s="22"/>
      <c r="J19" s="22"/>
      <c r="K19" s="22"/>
      <c r="L19" s="42"/>
      <c r="M19" s="22"/>
      <c r="N19" s="22"/>
      <c r="O19" s="22"/>
      <c r="P19" s="23"/>
      <c r="Q19" s="81"/>
      <c r="R19" s="41"/>
      <c r="S19" s="257"/>
      <c r="T19" s="74"/>
      <c r="U19" s="259"/>
    </row>
    <row r="20" spans="2:21" collapsed="1" x14ac:dyDescent="0.3">
      <c r="B20" s="1" t="s">
        <v>4</v>
      </c>
      <c r="F20" s="14"/>
      <c r="G20" s="44">
        <v>0</v>
      </c>
      <c r="H20" s="45">
        <f>SUM(H21:H32)</f>
        <v>0</v>
      </c>
      <c r="I20" s="45">
        <f t="shared" ref="I20:P20" si="10">SUM(I21:I32)</f>
        <v>0</v>
      </c>
      <c r="J20" s="45">
        <f t="shared" si="10"/>
        <v>0</v>
      </c>
      <c r="K20" s="45">
        <f t="shared" si="10"/>
        <v>0</v>
      </c>
      <c r="L20" s="46">
        <f t="shared" si="10"/>
        <v>0</v>
      </c>
      <c r="M20" s="45">
        <f t="shared" si="10"/>
        <v>0</v>
      </c>
      <c r="N20" s="45">
        <f t="shared" si="10"/>
        <v>0</v>
      </c>
      <c r="O20" s="45">
        <f t="shared" si="10"/>
        <v>0</v>
      </c>
      <c r="P20" s="68">
        <f t="shared" si="10"/>
        <v>0</v>
      </c>
      <c r="Q20" s="82">
        <f>SUM(Q21:Q32)</f>
        <v>0</v>
      </c>
      <c r="R20" s="47">
        <f>SUM(R21:R32)</f>
        <v>0</v>
      </c>
      <c r="S20" s="267" t="str">
        <f t="shared" ref="S20:S31" si="11">IF(Q20=0,"",P20/Q20)</f>
        <v/>
      </c>
      <c r="T20" s="75">
        <f>SUM(T21:T32)</f>
        <v>0</v>
      </c>
      <c r="U20" s="269" t="str">
        <f t="shared" ref="U20:U28" si="12">IF(G20=0,"",P20/G20)</f>
        <v/>
      </c>
    </row>
    <row r="21" spans="2:21" hidden="1" outlineLevel="1" x14ac:dyDescent="0.3">
      <c r="C21" t="s">
        <v>263</v>
      </c>
      <c r="F21" s="14">
        <v>5182</v>
      </c>
      <c r="G21" s="24">
        <v>0</v>
      </c>
      <c r="H21" s="22"/>
      <c r="I21" s="22"/>
      <c r="J21" s="22"/>
      <c r="K21" s="22"/>
      <c r="L21" s="42">
        <f>+H21</f>
        <v>0</v>
      </c>
      <c r="M21" s="22">
        <f>IF(I21=0,0,I21-H21)</f>
        <v>0</v>
      </c>
      <c r="N21" s="22">
        <f>IF(J21=0,0,J21-I21)</f>
        <v>0</v>
      </c>
      <c r="O21" s="22">
        <f>IF(K21=0,0,K21-J21)</f>
        <v>0</v>
      </c>
      <c r="P21" s="23">
        <f t="shared" ref="P21:P30" si="13">SUM(L21:O21)</f>
        <v>0</v>
      </c>
      <c r="Q21" s="81"/>
      <c r="R21" s="41">
        <f t="shared" ref="R21:R31" si="14">P21-Q21</f>
        <v>0</v>
      </c>
      <c r="S21" s="272" t="str">
        <f t="shared" si="11"/>
        <v/>
      </c>
      <c r="T21" s="74">
        <f t="shared" ref="T21:T31" si="15">P21-G21</f>
        <v>0</v>
      </c>
      <c r="U21" s="273" t="str">
        <f t="shared" si="12"/>
        <v/>
      </c>
    </row>
    <row r="22" spans="2:21" hidden="1" outlineLevel="1" x14ac:dyDescent="0.3">
      <c r="C22" t="s">
        <v>262</v>
      </c>
      <c r="F22" s="14">
        <v>5181</v>
      </c>
      <c r="G22" s="24">
        <v>0</v>
      </c>
      <c r="H22" s="22"/>
      <c r="I22" s="22"/>
      <c r="J22" s="22"/>
      <c r="K22" s="22"/>
      <c r="L22" s="42">
        <f t="shared" ref="L22:L30" si="16">+H22</f>
        <v>0</v>
      </c>
      <c r="M22" s="22">
        <f t="shared" ref="M22:M30" si="17">IF(I22=0,0,I22-H22)</f>
        <v>0</v>
      </c>
      <c r="N22" s="22">
        <f t="shared" ref="N22:N30" si="18">IF(J22=0,0,J22-I22)</f>
        <v>0</v>
      </c>
      <c r="O22" s="22">
        <f t="shared" ref="O22:O30" si="19">IF(K22=0,0,K22-J22)</f>
        <v>0</v>
      </c>
      <c r="P22" s="23">
        <f t="shared" si="13"/>
        <v>0</v>
      </c>
      <c r="Q22" s="81"/>
      <c r="R22" s="41">
        <f t="shared" si="14"/>
        <v>0</v>
      </c>
      <c r="S22" s="272" t="str">
        <f t="shared" si="11"/>
        <v/>
      </c>
      <c r="T22" s="74">
        <f t="shared" si="15"/>
        <v>0</v>
      </c>
      <c r="U22" s="273" t="str">
        <f t="shared" si="12"/>
        <v/>
      </c>
    </row>
    <row r="23" spans="2:21" hidden="1" outlineLevel="1" x14ac:dyDescent="0.3">
      <c r="C23" t="s">
        <v>264</v>
      </c>
      <c r="F23" s="14" t="s">
        <v>135</v>
      </c>
      <c r="G23" s="24">
        <v>0</v>
      </c>
      <c r="H23" s="22"/>
      <c r="I23" s="22"/>
      <c r="J23" s="22"/>
      <c r="K23" s="22"/>
      <c r="L23" s="42">
        <f t="shared" si="16"/>
        <v>0</v>
      </c>
      <c r="M23" s="22">
        <f t="shared" si="17"/>
        <v>0</v>
      </c>
      <c r="N23" s="22">
        <f t="shared" si="18"/>
        <v>0</v>
      </c>
      <c r="O23" s="22">
        <f t="shared" si="19"/>
        <v>0</v>
      </c>
      <c r="P23" s="23">
        <f t="shared" si="13"/>
        <v>0</v>
      </c>
      <c r="Q23" s="81"/>
      <c r="R23" s="41">
        <f t="shared" si="14"/>
        <v>0</v>
      </c>
      <c r="S23" s="272" t="str">
        <f t="shared" si="11"/>
        <v/>
      </c>
      <c r="T23" s="74">
        <f t="shared" si="15"/>
        <v>0</v>
      </c>
      <c r="U23" s="273" t="str">
        <f t="shared" si="12"/>
        <v/>
      </c>
    </row>
    <row r="24" spans="2:21" hidden="1" outlineLevel="1" x14ac:dyDescent="0.3">
      <c r="C24" t="s">
        <v>74</v>
      </c>
      <c r="F24" s="14" t="s">
        <v>136</v>
      </c>
      <c r="G24" s="24">
        <v>0</v>
      </c>
      <c r="H24" s="22"/>
      <c r="I24" s="22"/>
      <c r="J24" s="22"/>
      <c r="K24" s="22"/>
      <c r="L24" s="42">
        <f t="shared" si="16"/>
        <v>0</v>
      </c>
      <c r="M24" s="22">
        <f t="shared" si="17"/>
        <v>0</v>
      </c>
      <c r="N24" s="22">
        <f t="shared" si="18"/>
        <v>0</v>
      </c>
      <c r="O24" s="22">
        <f t="shared" si="19"/>
        <v>0</v>
      </c>
      <c r="P24" s="23">
        <f t="shared" si="13"/>
        <v>0</v>
      </c>
      <c r="Q24" s="81"/>
      <c r="R24" s="41">
        <f t="shared" si="14"/>
        <v>0</v>
      </c>
      <c r="S24" s="272" t="str">
        <f t="shared" si="11"/>
        <v/>
      </c>
      <c r="T24" s="74">
        <f t="shared" si="15"/>
        <v>0</v>
      </c>
      <c r="U24" s="273" t="str">
        <f t="shared" si="12"/>
        <v/>
      </c>
    </row>
    <row r="25" spans="2:21" hidden="1" outlineLevel="1" x14ac:dyDescent="0.3">
      <c r="C25" t="s">
        <v>270</v>
      </c>
      <c r="F25" s="14" t="s">
        <v>137</v>
      </c>
      <c r="G25" s="24">
        <v>0</v>
      </c>
      <c r="H25" s="22"/>
      <c r="I25" s="22"/>
      <c r="J25" s="22"/>
      <c r="K25" s="22"/>
      <c r="L25" s="42">
        <f t="shared" si="16"/>
        <v>0</v>
      </c>
      <c r="M25" s="22">
        <f t="shared" si="17"/>
        <v>0</v>
      </c>
      <c r="N25" s="22">
        <f t="shared" si="18"/>
        <v>0</v>
      </c>
      <c r="O25" s="22">
        <f t="shared" si="19"/>
        <v>0</v>
      </c>
      <c r="P25" s="23">
        <f t="shared" si="13"/>
        <v>0</v>
      </c>
      <c r="Q25" s="81"/>
      <c r="R25" s="41">
        <f t="shared" si="14"/>
        <v>0</v>
      </c>
      <c r="S25" s="272" t="str">
        <f t="shared" si="11"/>
        <v/>
      </c>
      <c r="T25" s="74">
        <f t="shared" si="15"/>
        <v>0</v>
      </c>
      <c r="U25" s="273" t="str">
        <f t="shared" si="12"/>
        <v/>
      </c>
    </row>
    <row r="26" spans="2:21" hidden="1" outlineLevel="1" x14ac:dyDescent="0.3">
      <c r="C26" t="s">
        <v>125</v>
      </c>
      <c r="F26" s="14" t="s">
        <v>134</v>
      </c>
      <c r="G26" s="24">
        <v>0</v>
      </c>
      <c r="H26" s="22"/>
      <c r="I26" s="22"/>
      <c r="J26" s="22"/>
      <c r="K26" s="22"/>
      <c r="L26" s="42">
        <f t="shared" si="16"/>
        <v>0</v>
      </c>
      <c r="M26" s="22">
        <f t="shared" si="17"/>
        <v>0</v>
      </c>
      <c r="N26" s="22">
        <f t="shared" si="18"/>
        <v>0</v>
      </c>
      <c r="O26" s="22">
        <f t="shared" si="19"/>
        <v>0</v>
      </c>
      <c r="P26" s="23">
        <f t="shared" si="13"/>
        <v>0</v>
      </c>
      <c r="Q26" s="81"/>
      <c r="R26" s="41">
        <f t="shared" si="14"/>
        <v>0</v>
      </c>
      <c r="S26" s="272" t="str">
        <f t="shared" si="11"/>
        <v/>
      </c>
      <c r="T26" s="74">
        <f t="shared" si="15"/>
        <v>0</v>
      </c>
      <c r="U26" s="273" t="str">
        <f t="shared" si="12"/>
        <v/>
      </c>
    </row>
    <row r="27" spans="2:21" hidden="1" outlineLevel="1" x14ac:dyDescent="0.3">
      <c r="C27" t="s">
        <v>126</v>
      </c>
      <c r="F27" s="14" t="s">
        <v>7</v>
      </c>
      <c r="G27" s="24">
        <v>0</v>
      </c>
      <c r="H27" s="22"/>
      <c r="I27" s="22"/>
      <c r="J27" s="22"/>
      <c r="K27" s="22"/>
      <c r="L27" s="42">
        <f t="shared" si="16"/>
        <v>0</v>
      </c>
      <c r="M27" s="22">
        <f t="shared" si="17"/>
        <v>0</v>
      </c>
      <c r="N27" s="22">
        <f t="shared" si="18"/>
        <v>0</v>
      </c>
      <c r="O27" s="22">
        <f t="shared" si="19"/>
        <v>0</v>
      </c>
      <c r="P27" s="23">
        <f t="shared" si="13"/>
        <v>0</v>
      </c>
      <c r="Q27" s="81"/>
      <c r="R27" s="41">
        <f t="shared" si="14"/>
        <v>0</v>
      </c>
      <c r="S27" s="272" t="str">
        <f t="shared" si="11"/>
        <v/>
      </c>
      <c r="T27" s="74">
        <f t="shared" si="15"/>
        <v>0</v>
      </c>
      <c r="U27" s="273" t="str">
        <f t="shared" si="12"/>
        <v/>
      </c>
    </row>
    <row r="28" spans="2:21" hidden="1" outlineLevel="1" x14ac:dyDescent="0.3">
      <c r="C28" t="s">
        <v>0</v>
      </c>
      <c r="F28" s="14">
        <v>5490</v>
      </c>
      <c r="G28" s="24">
        <v>0</v>
      </c>
      <c r="H28" s="22"/>
      <c r="I28" s="22"/>
      <c r="J28" s="22"/>
      <c r="K28" s="22"/>
      <c r="L28" s="42">
        <f t="shared" si="16"/>
        <v>0</v>
      </c>
      <c r="M28" s="22">
        <f t="shared" si="17"/>
        <v>0</v>
      </c>
      <c r="N28" s="22">
        <f t="shared" si="18"/>
        <v>0</v>
      </c>
      <c r="O28" s="22">
        <f t="shared" si="19"/>
        <v>0</v>
      </c>
      <c r="P28" s="23">
        <f t="shared" si="13"/>
        <v>0</v>
      </c>
      <c r="Q28" s="81"/>
      <c r="R28" s="41">
        <f t="shared" si="14"/>
        <v>0</v>
      </c>
      <c r="S28" s="272" t="str">
        <f t="shared" si="11"/>
        <v/>
      </c>
      <c r="T28" s="74">
        <f t="shared" si="15"/>
        <v>0</v>
      </c>
      <c r="U28" s="273" t="str">
        <f t="shared" si="12"/>
        <v/>
      </c>
    </row>
    <row r="29" spans="2:21" hidden="1" outlineLevel="1" x14ac:dyDescent="0.3">
      <c r="F29" s="14"/>
      <c r="G29" s="24">
        <v>0</v>
      </c>
      <c r="H29" s="22"/>
      <c r="I29" s="22"/>
      <c r="J29" s="22"/>
      <c r="K29" s="22"/>
      <c r="L29" s="42">
        <f t="shared" si="16"/>
        <v>0</v>
      </c>
      <c r="M29" s="22">
        <f t="shared" si="17"/>
        <v>0</v>
      </c>
      <c r="N29" s="22">
        <f t="shared" si="18"/>
        <v>0</v>
      </c>
      <c r="O29" s="22">
        <f t="shared" si="19"/>
        <v>0</v>
      </c>
      <c r="P29" s="23">
        <f t="shared" si="13"/>
        <v>0</v>
      </c>
      <c r="Q29" s="81"/>
      <c r="R29" s="41">
        <f t="shared" si="14"/>
        <v>0</v>
      </c>
      <c r="S29" s="272" t="str">
        <f t="shared" si="11"/>
        <v/>
      </c>
      <c r="T29" s="74">
        <f t="shared" si="15"/>
        <v>0</v>
      </c>
      <c r="U29" s="259"/>
    </row>
    <row r="30" spans="2:21" hidden="1" outlineLevel="1" x14ac:dyDescent="0.3">
      <c r="F30" s="14"/>
      <c r="G30" s="24">
        <v>0</v>
      </c>
      <c r="H30" s="22"/>
      <c r="I30" s="22"/>
      <c r="J30" s="22"/>
      <c r="K30" s="22"/>
      <c r="L30" s="42">
        <f t="shared" si="16"/>
        <v>0</v>
      </c>
      <c r="M30" s="22">
        <f t="shared" si="17"/>
        <v>0</v>
      </c>
      <c r="N30" s="22">
        <f t="shared" si="18"/>
        <v>0</v>
      </c>
      <c r="O30" s="22">
        <f t="shared" si="19"/>
        <v>0</v>
      </c>
      <c r="P30" s="23">
        <f t="shared" si="13"/>
        <v>0</v>
      </c>
      <c r="Q30" s="81"/>
      <c r="R30" s="41">
        <f t="shared" si="14"/>
        <v>0</v>
      </c>
      <c r="S30" s="272" t="str">
        <f t="shared" si="11"/>
        <v/>
      </c>
      <c r="T30" s="74">
        <f t="shared" si="15"/>
        <v>0</v>
      </c>
      <c r="U30" s="259"/>
    </row>
    <row r="31" spans="2:21" hidden="1" outlineLevel="1" x14ac:dyDescent="0.3">
      <c r="F31" s="14"/>
      <c r="G31" s="24"/>
      <c r="H31" s="22"/>
      <c r="I31" s="22"/>
      <c r="J31" s="22"/>
      <c r="K31" s="22"/>
      <c r="L31" s="42"/>
      <c r="M31" s="22"/>
      <c r="N31" s="22"/>
      <c r="O31" s="22"/>
      <c r="P31" s="23"/>
      <c r="Q31" s="81"/>
      <c r="R31" s="41">
        <f t="shared" si="14"/>
        <v>0</v>
      </c>
      <c r="S31" s="272" t="str">
        <f t="shared" si="11"/>
        <v/>
      </c>
      <c r="T31" s="74">
        <f t="shared" si="15"/>
        <v>0</v>
      </c>
      <c r="U31" s="259"/>
    </row>
    <row r="32" spans="2:21" hidden="1" outlineLevel="1" x14ac:dyDescent="0.3">
      <c r="F32" s="14"/>
      <c r="G32" s="24"/>
      <c r="H32" s="22"/>
      <c r="I32" s="22"/>
      <c r="J32" s="22"/>
      <c r="K32" s="22"/>
      <c r="L32" s="42"/>
      <c r="M32" s="22"/>
      <c r="N32" s="22"/>
      <c r="O32" s="22"/>
      <c r="P32" s="23"/>
      <c r="Q32" s="81"/>
      <c r="R32" s="41"/>
      <c r="S32" s="257"/>
      <c r="T32" s="74"/>
      <c r="U32" s="259"/>
    </row>
    <row r="33" spans="1:21" hidden="1" outlineLevel="1" x14ac:dyDescent="0.3">
      <c r="F33" s="14"/>
      <c r="G33" s="24"/>
      <c r="H33" s="22"/>
      <c r="I33" s="22"/>
      <c r="J33" s="22"/>
      <c r="K33" s="22"/>
      <c r="L33" s="42"/>
      <c r="M33" s="22"/>
      <c r="N33" s="22"/>
      <c r="O33" s="22"/>
      <c r="P33" s="23"/>
      <c r="Q33" s="81"/>
      <c r="R33" s="41"/>
      <c r="S33" s="257"/>
      <c r="T33" s="74"/>
      <c r="U33" s="259"/>
    </row>
    <row r="34" spans="1:21" collapsed="1" x14ac:dyDescent="0.3">
      <c r="B34" s="1" t="s">
        <v>294</v>
      </c>
      <c r="F34" s="14"/>
      <c r="G34" s="44">
        <f>SUM(G35:G43)</f>
        <v>58325.08</v>
      </c>
      <c r="H34" s="45">
        <f>SUM(H35:H43)</f>
        <v>28210</v>
      </c>
      <c r="I34" s="45">
        <f t="shared" ref="I34:P34" si="20">SUM(I35:I43)</f>
        <v>29680</v>
      </c>
      <c r="J34" s="45">
        <f t="shared" si="20"/>
        <v>31520</v>
      </c>
      <c r="K34" s="45">
        <f t="shared" si="20"/>
        <v>50147</v>
      </c>
      <c r="L34" s="46">
        <f t="shared" si="20"/>
        <v>28210</v>
      </c>
      <c r="M34" s="45">
        <f t="shared" si="20"/>
        <v>1470</v>
      </c>
      <c r="N34" s="45">
        <f t="shared" si="20"/>
        <v>1840</v>
      </c>
      <c r="O34" s="45">
        <f t="shared" si="20"/>
        <v>18627</v>
      </c>
      <c r="P34" s="68">
        <f t="shared" si="20"/>
        <v>50147</v>
      </c>
      <c r="Q34" s="82">
        <f>SUM(Q35:Q43)</f>
        <v>57799.92</v>
      </c>
      <c r="R34" s="47">
        <f>SUM(R35:R43)</f>
        <v>-7652.92</v>
      </c>
      <c r="S34" s="276">
        <f>IF(Q34=0,"",P34/Q34)</f>
        <v>0.86759635653474954</v>
      </c>
      <c r="T34" s="75">
        <f>SUM(T35:T43)</f>
        <v>-8178.08</v>
      </c>
      <c r="U34" s="277">
        <f>IF(G34=0,"",P34/G34)</f>
        <v>0.85978450436758935</v>
      </c>
    </row>
    <row r="35" spans="1:21" outlineLevel="1" x14ac:dyDescent="0.3">
      <c r="C35" t="s">
        <v>127</v>
      </c>
      <c r="F35" s="14"/>
      <c r="G35" s="24">
        <v>730</v>
      </c>
      <c r="H35" s="22">
        <v>160</v>
      </c>
      <c r="I35" s="22">
        <v>440</v>
      </c>
      <c r="J35" s="22">
        <v>670</v>
      </c>
      <c r="K35" s="185">
        <v>1150</v>
      </c>
      <c r="L35" s="42">
        <f>+H35</f>
        <v>160</v>
      </c>
      <c r="M35" s="22">
        <f>IF(I35=0,0,I35-H35)</f>
        <v>280</v>
      </c>
      <c r="N35" s="22">
        <f t="shared" ref="N35:N42" si="21">IF(J35=0,0,J35-I35)</f>
        <v>230</v>
      </c>
      <c r="O35" s="22">
        <f t="shared" ref="O35:O42" si="22">IF(K35=0,0,K35-J35)</f>
        <v>480</v>
      </c>
      <c r="P35" s="23">
        <f t="shared" ref="P35:P42" si="23">SUM(L35:O35)</f>
        <v>1150</v>
      </c>
      <c r="Q35" s="81">
        <v>700</v>
      </c>
      <c r="R35" s="41">
        <f t="shared" ref="R35:R43" si="24">P35-Q35</f>
        <v>450</v>
      </c>
      <c r="S35" s="278">
        <f>IF(Q35=0,"",P35/Q35)</f>
        <v>1.6428571428571428</v>
      </c>
      <c r="T35" s="74">
        <f>P35-G35</f>
        <v>420</v>
      </c>
      <c r="U35" s="275">
        <f>IF(G35=0,"",P35/G35)</f>
        <v>1.5753424657534247</v>
      </c>
    </row>
    <row r="36" spans="1:21" outlineLevel="1" x14ac:dyDescent="0.3">
      <c r="C36" t="s">
        <v>195</v>
      </c>
      <c r="F36" s="14"/>
      <c r="G36" s="24">
        <v>50645</v>
      </c>
      <c r="H36" s="22">
        <v>17465</v>
      </c>
      <c r="I36" s="22">
        <v>18655</v>
      </c>
      <c r="J36" s="22">
        <v>19580</v>
      </c>
      <c r="K36" s="185">
        <v>37090</v>
      </c>
      <c r="L36" s="42">
        <f t="shared" ref="L36:L42" si="25">+H36</f>
        <v>17465</v>
      </c>
      <c r="M36" s="22">
        <f t="shared" ref="M36:M42" si="26">IF(I36=0,0,I36-H36)</f>
        <v>1190</v>
      </c>
      <c r="N36" s="22">
        <f t="shared" si="21"/>
        <v>925</v>
      </c>
      <c r="O36" s="22">
        <f t="shared" si="22"/>
        <v>17510</v>
      </c>
      <c r="P36" s="23">
        <f t="shared" si="23"/>
        <v>37090</v>
      </c>
      <c r="Q36" s="81">
        <v>45000</v>
      </c>
      <c r="R36" s="41">
        <f t="shared" si="24"/>
        <v>-7910</v>
      </c>
      <c r="S36" s="278">
        <f>IF(Q36=0,"",P36/Q36)</f>
        <v>0.82422222222222219</v>
      </c>
      <c r="T36" s="74">
        <f>P36-G36</f>
        <v>-13555</v>
      </c>
      <c r="U36" s="275">
        <f>IF(G36=0,"",P36/G36)</f>
        <v>0.73235265080462042</v>
      </c>
    </row>
    <row r="37" spans="1:21" outlineLevel="1" x14ac:dyDescent="0.3">
      <c r="C37" t="s">
        <v>270</v>
      </c>
      <c r="F37" s="14" t="s">
        <v>137</v>
      </c>
      <c r="G37" s="24">
        <v>0</v>
      </c>
      <c r="H37" s="22"/>
      <c r="I37" s="22"/>
      <c r="J37" s="22"/>
      <c r="K37" s="185"/>
      <c r="L37" s="42">
        <f>+H37</f>
        <v>0</v>
      </c>
      <c r="M37" s="22">
        <f>IF(I37=0,0,I37-H37)</f>
        <v>0</v>
      </c>
      <c r="N37" s="22">
        <f>IF(J37=0,0,J37-I37)</f>
        <v>0</v>
      </c>
      <c r="O37" s="22">
        <f>IF(K37=0,0,K37-J37)</f>
        <v>0</v>
      </c>
      <c r="P37" s="23">
        <f>SUM(L37:O37)</f>
        <v>0</v>
      </c>
      <c r="Q37" s="81"/>
      <c r="R37" s="41">
        <f>P37-Q37</f>
        <v>0</v>
      </c>
      <c r="S37" s="278"/>
      <c r="T37" s="74"/>
      <c r="U37" s="275"/>
    </row>
    <row r="38" spans="1:21" outlineLevel="1" x14ac:dyDescent="0.3">
      <c r="C38" t="s">
        <v>196</v>
      </c>
      <c r="F38" s="14" t="s">
        <v>204</v>
      </c>
      <c r="G38" s="24">
        <v>6790</v>
      </c>
      <c r="H38" s="22">
        <f>10000+585</f>
        <v>10585</v>
      </c>
      <c r="I38" s="22">
        <v>10585</v>
      </c>
      <c r="J38" s="22">
        <v>10590</v>
      </c>
      <c r="K38" s="185">
        <v>10925</v>
      </c>
      <c r="L38" s="42">
        <f t="shared" si="25"/>
        <v>10585</v>
      </c>
      <c r="M38" s="22">
        <f t="shared" si="26"/>
        <v>0</v>
      </c>
      <c r="N38" s="22">
        <f t="shared" si="21"/>
        <v>5</v>
      </c>
      <c r="O38" s="22">
        <f t="shared" si="22"/>
        <v>335</v>
      </c>
      <c r="P38" s="23">
        <f t="shared" si="23"/>
        <v>10925</v>
      </c>
      <c r="Q38" s="81">
        <v>12000</v>
      </c>
      <c r="R38" s="41">
        <f t="shared" si="24"/>
        <v>-1075</v>
      </c>
      <c r="S38" s="278">
        <f t="shared" ref="S38:S43" si="27">IF(Q38=0,"",P38/Q38)</f>
        <v>0.91041666666666665</v>
      </c>
      <c r="T38" s="74">
        <f t="shared" ref="T38:T43" si="28">P38-G38</f>
        <v>4135</v>
      </c>
      <c r="U38" s="275">
        <f t="shared" ref="U38:U43" si="29">IF(G38=0,"",P38/G38)</f>
        <v>1.6089837997054492</v>
      </c>
    </row>
    <row r="39" spans="1:21" outlineLevel="1" x14ac:dyDescent="0.3">
      <c r="C39" t="s">
        <v>352</v>
      </c>
      <c r="F39" s="14"/>
      <c r="G39" s="24">
        <v>0</v>
      </c>
      <c r="H39" s="22"/>
      <c r="I39" s="22"/>
      <c r="J39" s="22"/>
      <c r="K39" s="185"/>
      <c r="L39" s="42">
        <f t="shared" si="25"/>
        <v>0</v>
      </c>
      <c r="M39" s="22">
        <f t="shared" si="26"/>
        <v>0</v>
      </c>
      <c r="N39" s="22">
        <f t="shared" si="21"/>
        <v>0</v>
      </c>
      <c r="O39" s="22">
        <f t="shared" si="22"/>
        <v>0</v>
      </c>
      <c r="P39" s="23">
        <f t="shared" si="23"/>
        <v>0</v>
      </c>
      <c r="Q39" s="81"/>
      <c r="R39" s="41">
        <f t="shared" si="24"/>
        <v>0</v>
      </c>
      <c r="S39" s="278" t="str">
        <f t="shared" si="27"/>
        <v/>
      </c>
      <c r="T39" s="74">
        <f t="shared" si="28"/>
        <v>0</v>
      </c>
      <c r="U39" s="275" t="str">
        <f t="shared" si="29"/>
        <v/>
      </c>
    </row>
    <row r="40" spans="1:21" outlineLevel="1" x14ac:dyDescent="0.3">
      <c r="C40" t="s">
        <v>0</v>
      </c>
      <c r="F40" s="14">
        <v>5490</v>
      </c>
      <c r="G40" s="24">
        <v>160.08000000000001</v>
      </c>
      <c r="H40" s="22"/>
      <c r="I40" s="22"/>
      <c r="J40" s="22">
        <f>380+300</f>
        <v>680</v>
      </c>
      <c r="K40" s="22">
        <f>380+300+155+147</f>
        <v>982</v>
      </c>
      <c r="L40" s="42">
        <f>+H40</f>
        <v>0</v>
      </c>
      <c r="M40" s="22">
        <f t="shared" si="26"/>
        <v>0</v>
      </c>
      <c r="N40" s="22">
        <f t="shared" si="21"/>
        <v>680</v>
      </c>
      <c r="O40" s="22">
        <f t="shared" si="22"/>
        <v>302</v>
      </c>
      <c r="P40" s="23">
        <f t="shared" si="23"/>
        <v>982</v>
      </c>
      <c r="Q40" s="81">
        <v>99.92</v>
      </c>
      <c r="R40" s="41">
        <f t="shared" si="24"/>
        <v>882.08</v>
      </c>
      <c r="S40" s="278">
        <f t="shared" si="27"/>
        <v>9.8278622898318648</v>
      </c>
      <c r="T40" s="74">
        <f t="shared" si="28"/>
        <v>821.92</v>
      </c>
      <c r="U40" s="275">
        <f t="shared" si="29"/>
        <v>6.1344327836081955</v>
      </c>
    </row>
    <row r="41" spans="1:21" outlineLevel="1" x14ac:dyDescent="0.3">
      <c r="F41" s="14"/>
      <c r="G41" s="24">
        <v>0</v>
      </c>
      <c r="H41" s="22"/>
      <c r="I41" s="22"/>
      <c r="J41" s="22"/>
      <c r="K41" s="22"/>
      <c r="L41" s="42">
        <f t="shared" si="25"/>
        <v>0</v>
      </c>
      <c r="M41" s="22">
        <f t="shared" si="26"/>
        <v>0</v>
      </c>
      <c r="N41" s="22">
        <f t="shared" si="21"/>
        <v>0</v>
      </c>
      <c r="O41" s="22">
        <f t="shared" si="22"/>
        <v>0</v>
      </c>
      <c r="P41" s="23">
        <f t="shared" si="23"/>
        <v>0</v>
      </c>
      <c r="Q41" s="81"/>
      <c r="R41" s="41">
        <f t="shared" si="24"/>
        <v>0</v>
      </c>
      <c r="S41" s="278" t="str">
        <f t="shared" si="27"/>
        <v/>
      </c>
      <c r="T41" s="74">
        <f t="shared" si="28"/>
        <v>0</v>
      </c>
      <c r="U41" s="275" t="str">
        <f t="shared" si="29"/>
        <v/>
      </c>
    </row>
    <row r="42" spans="1:21" outlineLevel="1" x14ac:dyDescent="0.3">
      <c r="F42" s="14"/>
      <c r="G42" s="24">
        <v>0</v>
      </c>
      <c r="H42" s="22"/>
      <c r="I42" s="22"/>
      <c r="J42" s="22"/>
      <c r="K42" s="22"/>
      <c r="L42" s="42">
        <f t="shared" si="25"/>
        <v>0</v>
      </c>
      <c r="M42" s="22">
        <f t="shared" si="26"/>
        <v>0</v>
      </c>
      <c r="N42" s="22">
        <f t="shared" si="21"/>
        <v>0</v>
      </c>
      <c r="O42" s="22">
        <f t="shared" si="22"/>
        <v>0</v>
      </c>
      <c r="P42" s="23">
        <f t="shared" si="23"/>
        <v>0</v>
      </c>
      <c r="Q42" s="81"/>
      <c r="R42" s="41">
        <f t="shared" si="24"/>
        <v>0</v>
      </c>
      <c r="S42" s="278" t="str">
        <f t="shared" si="27"/>
        <v/>
      </c>
      <c r="T42" s="74">
        <f t="shared" si="28"/>
        <v>0</v>
      </c>
      <c r="U42" s="275" t="str">
        <f t="shared" si="29"/>
        <v/>
      </c>
    </row>
    <row r="43" spans="1:21" outlineLevel="1" x14ac:dyDescent="0.3">
      <c r="F43" s="14"/>
      <c r="G43" s="24"/>
      <c r="H43" s="22"/>
      <c r="I43" s="22"/>
      <c r="J43" s="22"/>
      <c r="K43" s="22"/>
      <c r="L43" s="42"/>
      <c r="M43" s="22"/>
      <c r="N43" s="22"/>
      <c r="O43" s="22"/>
      <c r="P43" s="23"/>
      <c r="Q43" s="81"/>
      <c r="R43" s="41">
        <f t="shared" si="24"/>
        <v>0</v>
      </c>
      <c r="S43" s="278" t="str">
        <f t="shared" si="27"/>
        <v/>
      </c>
      <c r="T43" s="74">
        <f t="shared" si="28"/>
        <v>0</v>
      </c>
      <c r="U43" s="275" t="str">
        <f t="shared" si="29"/>
        <v/>
      </c>
    </row>
    <row r="44" spans="1:21" outlineLevel="1" x14ac:dyDescent="0.3">
      <c r="F44" s="14"/>
      <c r="G44" s="24"/>
      <c r="H44" s="22"/>
      <c r="I44" s="22"/>
      <c r="J44" s="22"/>
      <c r="K44" s="22"/>
      <c r="L44" s="42"/>
      <c r="M44" s="22"/>
      <c r="N44" s="22"/>
      <c r="O44" s="22"/>
      <c r="P44" s="23"/>
      <c r="Q44" s="81"/>
      <c r="R44" s="41"/>
      <c r="S44" s="257"/>
      <c r="T44" s="74"/>
      <c r="U44" s="259"/>
    </row>
    <row r="45" spans="1:21" x14ac:dyDescent="0.3">
      <c r="A45" s="1" t="s">
        <v>105</v>
      </c>
      <c r="F45" s="14"/>
      <c r="G45" s="52">
        <f t="shared" ref="G45:P45" si="30">+G8+G20+G34</f>
        <v>58325.08</v>
      </c>
      <c r="H45" s="53">
        <f>+H8+H20+H34</f>
        <v>28210</v>
      </c>
      <c r="I45" s="53">
        <f t="shared" si="30"/>
        <v>29680</v>
      </c>
      <c r="J45" s="53">
        <f t="shared" si="30"/>
        <v>31520</v>
      </c>
      <c r="K45" s="53">
        <f t="shared" si="30"/>
        <v>50147</v>
      </c>
      <c r="L45" s="54">
        <f t="shared" si="30"/>
        <v>28210</v>
      </c>
      <c r="M45" s="53">
        <f t="shared" si="30"/>
        <v>1470</v>
      </c>
      <c r="N45" s="53">
        <f t="shared" si="30"/>
        <v>1840</v>
      </c>
      <c r="O45" s="53">
        <f t="shared" si="30"/>
        <v>18627</v>
      </c>
      <c r="P45" s="69">
        <f t="shared" si="30"/>
        <v>50147</v>
      </c>
      <c r="Q45" s="83">
        <f>+Q8+Q20+Q34</f>
        <v>57799.92</v>
      </c>
      <c r="R45" s="55">
        <f>R8+R20+R34</f>
        <v>-7652.92</v>
      </c>
      <c r="S45" s="286">
        <f>IF(Q45=0,"",P45/Q45)</f>
        <v>0.86759635653474954</v>
      </c>
      <c r="T45" s="76">
        <f>T8+T20+T34</f>
        <v>-8178.08</v>
      </c>
      <c r="U45" s="288">
        <f>IF(G45=0,"",P45/G45)</f>
        <v>0.85978450436758935</v>
      </c>
    </row>
    <row r="46" spans="1:21" x14ac:dyDescent="0.3">
      <c r="F46" s="14"/>
      <c r="G46" s="24"/>
      <c r="H46" s="22"/>
      <c r="I46" s="22"/>
      <c r="J46" s="22"/>
      <c r="K46" s="22"/>
      <c r="L46" s="42"/>
      <c r="M46" s="22"/>
      <c r="N46" s="22"/>
      <c r="O46" s="22"/>
      <c r="P46" s="23"/>
      <c r="Q46" s="81"/>
      <c r="R46" s="41"/>
      <c r="S46" s="257"/>
      <c r="T46" s="74"/>
      <c r="U46" s="259"/>
    </row>
    <row r="47" spans="1:21" x14ac:dyDescent="0.3">
      <c r="A47" s="1" t="s">
        <v>199</v>
      </c>
      <c r="F47" s="14"/>
      <c r="G47" s="24"/>
      <c r="H47" s="22"/>
      <c r="I47" s="22"/>
      <c r="J47" s="22"/>
      <c r="K47" s="22"/>
      <c r="L47" s="42"/>
      <c r="M47" s="22"/>
      <c r="N47" s="22"/>
      <c r="O47" s="22"/>
      <c r="P47" s="23"/>
      <c r="Q47" s="81"/>
      <c r="R47" s="41"/>
      <c r="S47" s="257"/>
      <c r="T47" s="74"/>
      <c r="U47" s="259"/>
    </row>
    <row r="48" spans="1:21" outlineLevel="1" x14ac:dyDescent="0.3">
      <c r="B48" t="s">
        <v>366</v>
      </c>
      <c r="F48" s="14"/>
      <c r="G48" s="24">
        <v>0</v>
      </c>
      <c r="H48" s="22">
        <v>105</v>
      </c>
      <c r="I48" s="22">
        <f>105+232.86</f>
        <v>337.86</v>
      </c>
      <c r="J48" s="22">
        <v>618.08000000000004</v>
      </c>
      <c r="K48" s="22">
        <f>105+232.86+280.22+204.39</f>
        <v>822.47</v>
      </c>
      <c r="L48" s="42">
        <f t="shared" ref="L48:L74" si="31">+H48</f>
        <v>105</v>
      </c>
      <c r="M48" s="22">
        <f t="shared" ref="M48:M74" si="32">IF(I48=0,0,I48-H48)</f>
        <v>232.86</v>
      </c>
      <c r="N48" s="22">
        <f t="shared" ref="N48:N74" si="33">IF(J48=0,0,J48-I48)</f>
        <v>280.22000000000003</v>
      </c>
      <c r="O48" s="22">
        <f t="shared" ref="O48:O74" si="34">IF(K48=0,0,K48-J48)</f>
        <v>204.39</v>
      </c>
      <c r="P48" s="23">
        <f t="shared" ref="P48:P74" si="35">SUM(L48:O48)</f>
        <v>822.47</v>
      </c>
      <c r="Q48" s="81"/>
      <c r="R48" s="41">
        <f t="shared" ref="R48:R74" si="36">P48-Q48</f>
        <v>822.47</v>
      </c>
      <c r="S48" s="278" t="str">
        <f t="shared" ref="S48:S76" si="37">IF(Q48=0,"",P48/Q48)</f>
        <v/>
      </c>
      <c r="T48" s="74">
        <f t="shared" ref="T48:T70" si="38">P48-G48</f>
        <v>822.47</v>
      </c>
      <c r="U48" s="275" t="str">
        <f t="shared" ref="U48:U76" si="39">IF(G48=0,"",P48/G48)</f>
        <v/>
      </c>
    </row>
    <row r="49" spans="2:21" outlineLevel="1" x14ac:dyDescent="0.3">
      <c r="B49" t="s">
        <v>229</v>
      </c>
      <c r="F49" s="14" t="s">
        <v>212</v>
      </c>
      <c r="G49" s="24">
        <v>0</v>
      </c>
      <c r="H49" s="22"/>
      <c r="I49" s="22"/>
      <c r="J49" s="22"/>
      <c r="K49" s="22"/>
      <c r="L49" s="42">
        <f t="shared" si="31"/>
        <v>0</v>
      </c>
      <c r="M49" s="22">
        <f t="shared" si="32"/>
        <v>0</v>
      </c>
      <c r="N49" s="22">
        <f t="shared" si="33"/>
        <v>0</v>
      </c>
      <c r="O49" s="22">
        <f t="shared" si="34"/>
        <v>0</v>
      </c>
      <c r="P49" s="23">
        <f t="shared" si="35"/>
        <v>0</v>
      </c>
      <c r="Q49" s="81"/>
      <c r="R49" s="41">
        <f t="shared" si="36"/>
        <v>0</v>
      </c>
      <c r="S49" s="278" t="str">
        <f t="shared" si="37"/>
        <v/>
      </c>
      <c r="T49" s="74">
        <f t="shared" si="38"/>
        <v>0</v>
      </c>
      <c r="U49" s="275" t="str">
        <f t="shared" si="39"/>
        <v/>
      </c>
    </row>
    <row r="50" spans="2:21" outlineLevel="1" x14ac:dyDescent="0.3">
      <c r="B50" t="s">
        <v>1</v>
      </c>
      <c r="F50" s="14"/>
      <c r="G50" s="24">
        <v>1292.3599999999999</v>
      </c>
      <c r="H50" s="22"/>
      <c r="I50" s="22">
        <f>288.64+255</f>
        <v>543.64</v>
      </c>
      <c r="J50" s="22">
        <f>288.64+255</f>
        <v>543.64</v>
      </c>
      <c r="K50" s="22">
        <f>288.64+255+1000</f>
        <v>1543.6399999999999</v>
      </c>
      <c r="L50" s="42">
        <f t="shared" si="31"/>
        <v>0</v>
      </c>
      <c r="M50" s="22">
        <f t="shared" si="32"/>
        <v>543.64</v>
      </c>
      <c r="N50" s="22">
        <f t="shared" si="33"/>
        <v>0</v>
      </c>
      <c r="O50" s="22">
        <f t="shared" si="34"/>
        <v>999.99999999999989</v>
      </c>
      <c r="P50" s="23">
        <f t="shared" si="35"/>
        <v>1543.6399999999999</v>
      </c>
      <c r="Q50" s="81">
        <v>1000</v>
      </c>
      <c r="R50" s="41">
        <f t="shared" si="36"/>
        <v>543.63999999999987</v>
      </c>
      <c r="S50" s="278">
        <f t="shared" si="37"/>
        <v>1.5436399999999999</v>
      </c>
      <c r="T50" s="74">
        <f t="shared" si="38"/>
        <v>251.27999999999997</v>
      </c>
      <c r="U50" s="275">
        <f t="shared" si="39"/>
        <v>1.1944349871552817</v>
      </c>
    </row>
    <row r="51" spans="2:21" outlineLevel="1" x14ac:dyDescent="0.3">
      <c r="B51" t="s">
        <v>230</v>
      </c>
      <c r="F51" s="14" t="s">
        <v>215</v>
      </c>
      <c r="G51" s="24">
        <v>0</v>
      </c>
      <c r="H51" s="22"/>
      <c r="I51" s="22"/>
      <c r="J51" s="22"/>
      <c r="K51" s="22"/>
      <c r="L51" s="42">
        <f t="shared" si="31"/>
        <v>0</v>
      </c>
      <c r="M51" s="22">
        <f t="shared" si="32"/>
        <v>0</v>
      </c>
      <c r="N51" s="22">
        <f t="shared" si="33"/>
        <v>0</v>
      </c>
      <c r="O51" s="22">
        <f t="shared" si="34"/>
        <v>0</v>
      </c>
      <c r="P51" s="23">
        <f t="shared" si="35"/>
        <v>0</v>
      </c>
      <c r="Q51" s="81"/>
      <c r="R51" s="41">
        <f t="shared" si="36"/>
        <v>0</v>
      </c>
      <c r="S51" s="278" t="str">
        <f t="shared" si="37"/>
        <v/>
      </c>
      <c r="T51" s="74">
        <f t="shared" si="38"/>
        <v>0</v>
      </c>
      <c r="U51" s="275" t="str">
        <f t="shared" si="39"/>
        <v/>
      </c>
    </row>
    <row r="52" spans="2:21" outlineLevel="1" x14ac:dyDescent="0.3">
      <c r="B52" t="s">
        <v>227</v>
      </c>
      <c r="E52" t="s">
        <v>418</v>
      </c>
      <c r="F52" s="14"/>
      <c r="G52" s="24">
        <f>G149</f>
        <v>13367.19</v>
      </c>
      <c r="H52" s="22">
        <f>H149</f>
        <v>188.69</v>
      </c>
      <c r="I52" s="22">
        <f>I149</f>
        <v>7733.5699999999988</v>
      </c>
      <c r="J52" s="22">
        <f>J149</f>
        <v>7992.87</v>
      </c>
      <c r="K52" s="22">
        <f>K149</f>
        <v>8170.94</v>
      </c>
      <c r="L52" s="42">
        <f t="shared" si="31"/>
        <v>188.69</v>
      </c>
      <c r="M52" s="22">
        <f t="shared" si="32"/>
        <v>7544.8799999999992</v>
      </c>
      <c r="N52" s="22">
        <f t="shared" si="33"/>
        <v>259.30000000000109</v>
      </c>
      <c r="O52" s="22">
        <f t="shared" si="34"/>
        <v>178.06999999999971</v>
      </c>
      <c r="P52" s="23">
        <f t="shared" si="35"/>
        <v>8170.94</v>
      </c>
      <c r="Q52" s="106">
        <v>7000</v>
      </c>
      <c r="R52" s="41">
        <f t="shared" si="36"/>
        <v>1170.9399999999996</v>
      </c>
      <c r="S52" s="278">
        <f t="shared" si="37"/>
        <v>1.1672771428571429</v>
      </c>
      <c r="T52" s="74">
        <f t="shared" si="38"/>
        <v>-5196.2500000000009</v>
      </c>
      <c r="U52" s="275">
        <f t="shared" si="39"/>
        <v>0.61126833687558857</v>
      </c>
    </row>
    <row r="53" spans="2:21" outlineLevel="1" x14ac:dyDescent="0.3">
      <c r="B53" t="s">
        <v>228</v>
      </c>
      <c r="E53" t="s">
        <v>418</v>
      </c>
      <c r="F53" s="14"/>
      <c r="G53" s="24">
        <f>G158</f>
        <v>0</v>
      </c>
      <c r="H53" s="22">
        <f>H158</f>
        <v>0</v>
      </c>
      <c r="I53" s="22">
        <f>I158</f>
        <v>0</v>
      </c>
      <c r="J53" s="22">
        <f>J158</f>
        <v>0</v>
      </c>
      <c r="K53" s="22">
        <f>K158</f>
        <v>0</v>
      </c>
      <c r="L53" s="42">
        <f t="shared" si="31"/>
        <v>0</v>
      </c>
      <c r="M53" s="22">
        <f t="shared" si="32"/>
        <v>0</v>
      </c>
      <c r="N53" s="22">
        <f t="shared" si="33"/>
        <v>0</v>
      </c>
      <c r="O53" s="22">
        <f t="shared" si="34"/>
        <v>0</v>
      </c>
      <c r="P53" s="23">
        <f t="shared" si="35"/>
        <v>0</v>
      </c>
      <c r="Q53" s="106">
        <f>Q158</f>
        <v>0</v>
      </c>
      <c r="R53" s="41">
        <f t="shared" si="36"/>
        <v>0</v>
      </c>
      <c r="S53" s="278" t="str">
        <f t="shared" si="37"/>
        <v/>
      </c>
      <c r="T53" s="74">
        <f t="shared" si="38"/>
        <v>0</v>
      </c>
      <c r="U53" s="275" t="str">
        <f t="shared" si="39"/>
        <v/>
      </c>
    </row>
    <row r="54" spans="2:21" outlineLevel="1" x14ac:dyDescent="0.3">
      <c r="B54" t="s">
        <v>95</v>
      </c>
      <c r="E54" t="s">
        <v>418</v>
      </c>
      <c r="F54" s="14"/>
      <c r="G54" s="24">
        <f>G140</f>
        <v>3070.2000999999991</v>
      </c>
      <c r="H54" s="22">
        <f>H140</f>
        <v>17413.2</v>
      </c>
      <c r="I54" s="22">
        <f>I140</f>
        <v>9179.2000000000007</v>
      </c>
      <c r="J54" s="22">
        <f>J140</f>
        <v>3733.2</v>
      </c>
      <c r="K54" s="22">
        <f>K140</f>
        <v>3733.2</v>
      </c>
      <c r="L54" s="42">
        <f t="shared" si="31"/>
        <v>17413.2</v>
      </c>
      <c r="M54" s="22">
        <f t="shared" si="32"/>
        <v>-8234</v>
      </c>
      <c r="N54" s="22">
        <f t="shared" si="33"/>
        <v>-5446.0000000000009</v>
      </c>
      <c r="O54" s="22">
        <f t="shared" si="34"/>
        <v>0</v>
      </c>
      <c r="P54" s="23">
        <f t="shared" si="35"/>
        <v>3733.2</v>
      </c>
      <c r="Q54" s="106">
        <f>Q140</f>
        <v>3733.2</v>
      </c>
      <c r="R54" s="105">
        <f t="shared" si="36"/>
        <v>0</v>
      </c>
      <c r="S54" s="278">
        <f t="shared" si="37"/>
        <v>1</v>
      </c>
      <c r="T54" s="74">
        <f t="shared" si="38"/>
        <v>662.99990000000071</v>
      </c>
      <c r="U54" s="275">
        <f t="shared" si="39"/>
        <v>1.2159468042490134</v>
      </c>
    </row>
    <row r="55" spans="2:21" outlineLevel="1" x14ac:dyDescent="0.3">
      <c r="B55" t="s">
        <v>231</v>
      </c>
      <c r="F55" s="14"/>
      <c r="G55" s="24">
        <v>0</v>
      </c>
      <c r="H55" s="22"/>
      <c r="I55" s="22"/>
      <c r="J55" s="22"/>
      <c r="K55" s="22"/>
      <c r="L55" s="42">
        <f t="shared" si="31"/>
        <v>0</v>
      </c>
      <c r="M55" s="22">
        <f t="shared" si="32"/>
        <v>0</v>
      </c>
      <c r="N55" s="22">
        <f t="shared" si="33"/>
        <v>0</v>
      </c>
      <c r="O55" s="22">
        <f t="shared" si="34"/>
        <v>0</v>
      </c>
      <c r="P55" s="23">
        <f t="shared" si="35"/>
        <v>0</v>
      </c>
      <c r="Q55" s="106"/>
      <c r="R55" s="41">
        <f t="shared" si="36"/>
        <v>0</v>
      </c>
      <c r="S55" s="278" t="str">
        <f t="shared" si="37"/>
        <v/>
      </c>
      <c r="T55" s="74">
        <f t="shared" si="38"/>
        <v>0</v>
      </c>
      <c r="U55" s="275" t="str">
        <f t="shared" si="39"/>
        <v/>
      </c>
    </row>
    <row r="56" spans="2:21" outlineLevel="1" x14ac:dyDescent="0.3">
      <c r="B56" t="s">
        <v>6</v>
      </c>
      <c r="F56" s="14">
        <v>8222</v>
      </c>
      <c r="G56" s="24">
        <v>0</v>
      </c>
      <c r="H56" s="22"/>
      <c r="I56" s="22"/>
      <c r="J56" s="22"/>
      <c r="K56" s="22"/>
      <c r="L56" s="42">
        <f t="shared" si="31"/>
        <v>0</v>
      </c>
      <c r="M56" s="22">
        <f t="shared" si="32"/>
        <v>0</v>
      </c>
      <c r="N56" s="22">
        <f t="shared" si="33"/>
        <v>0</v>
      </c>
      <c r="O56" s="22">
        <f t="shared" si="34"/>
        <v>0</v>
      </c>
      <c r="P56" s="23">
        <f t="shared" si="35"/>
        <v>0</v>
      </c>
      <c r="Q56" s="106"/>
      <c r="R56" s="41">
        <f t="shared" si="36"/>
        <v>0</v>
      </c>
      <c r="S56" s="278" t="str">
        <f t="shared" si="37"/>
        <v/>
      </c>
      <c r="T56" s="74">
        <f t="shared" si="38"/>
        <v>0</v>
      </c>
      <c r="U56" s="275" t="str">
        <f t="shared" si="39"/>
        <v/>
      </c>
    </row>
    <row r="57" spans="2:21" outlineLevel="1" x14ac:dyDescent="0.3">
      <c r="B57" t="s">
        <v>232</v>
      </c>
      <c r="F57" s="14">
        <v>8224</v>
      </c>
      <c r="G57" s="24">
        <v>0</v>
      </c>
      <c r="H57" s="22"/>
      <c r="I57" s="22"/>
      <c r="J57" s="22"/>
      <c r="K57" s="22"/>
      <c r="L57" s="42">
        <f t="shared" si="31"/>
        <v>0</v>
      </c>
      <c r="M57" s="22">
        <f t="shared" si="32"/>
        <v>0</v>
      </c>
      <c r="N57" s="22">
        <f t="shared" si="33"/>
        <v>0</v>
      </c>
      <c r="O57" s="22">
        <f t="shared" si="34"/>
        <v>0</v>
      </c>
      <c r="P57" s="23">
        <f t="shared" si="35"/>
        <v>0</v>
      </c>
      <c r="Q57" s="106"/>
      <c r="R57" s="41">
        <f t="shared" si="36"/>
        <v>0</v>
      </c>
      <c r="S57" s="278" t="str">
        <f t="shared" si="37"/>
        <v/>
      </c>
      <c r="T57" s="74">
        <f t="shared" si="38"/>
        <v>0</v>
      </c>
      <c r="U57" s="275" t="str">
        <f t="shared" si="39"/>
        <v/>
      </c>
    </row>
    <row r="58" spans="2:21" outlineLevel="1" x14ac:dyDescent="0.3">
      <c r="B58" t="s">
        <v>233</v>
      </c>
      <c r="F58" s="14">
        <v>8116</v>
      </c>
      <c r="G58" s="24">
        <v>0</v>
      </c>
      <c r="H58" s="22"/>
      <c r="I58" s="22"/>
      <c r="J58" s="22"/>
      <c r="K58" s="22"/>
      <c r="L58" s="42">
        <f t="shared" si="31"/>
        <v>0</v>
      </c>
      <c r="M58" s="22">
        <f t="shared" si="32"/>
        <v>0</v>
      </c>
      <c r="N58" s="22">
        <f t="shared" si="33"/>
        <v>0</v>
      </c>
      <c r="O58" s="22">
        <f t="shared" si="34"/>
        <v>0</v>
      </c>
      <c r="P58" s="23">
        <f t="shared" si="35"/>
        <v>0</v>
      </c>
      <c r="Q58" s="106"/>
      <c r="R58" s="41">
        <f t="shared" si="36"/>
        <v>0</v>
      </c>
      <c r="S58" s="278" t="str">
        <f t="shared" si="37"/>
        <v/>
      </c>
      <c r="T58" s="74">
        <f t="shared" si="38"/>
        <v>0</v>
      </c>
      <c r="U58" s="275" t="str">
        <f t="shared" si="39"/>
        <v/>
      </c>
    </row>
    <row r="59" spans="2:21" outlineLevel="1" x14ac:dyDescent="0.3">
      <c r="B59" t="s">
        <v>234</v>
      </c>
      <c r="F59" s="14">
        <v>8540</v>
      </c>
      <c r="G59" s="24">
        <v>0</v>
      </c>
      <c r="H59" s="22"/>
      <c r="I59" s="22"/>
      <c r="J59" s="22"/>
      <c r="K59" s="22"/>
      <c r="L59" s="42">
        <f t="shared" si="31"/>
        <v>0</v>
      </c>
      <c r="M59" s="22">
        <f t="shared" si="32"/>
        <v>0</v>
      </c>
      <c r="N59" s="22">
        <f t="shared" si="33"/>
        <v>0</v>
      </c>
      <c r="O59" s="22">
        <f t="shared" si="34"/>
        <v>0</v>
      </c>
      <c r="P59" s="23">
        <f t="shared" si="35"/>
        <v>0</v>
      </c>
      <c r="Q59" s="106"/>
      <c r="R59" s="41">
        <f t="shared" si="36"/>
        <v>0</v>
      </c>
      <c r="S59" s="278" t="str">
        <f t="shared" si="37"/>
        <v/>
      </c>
      <c r="T59" s="74">
        <f t="shared" si="38"/>
        <v>0</v>
      </c>
      <c r="U59" s="275" t="str">
        <f t="shared" si="39"/>
        <v/>
      </c>
    </row>
    <row r="60" spans="2:21" outlineLevel="1" x14ac:dyDescent="0.3">
      <c r="B60" t="s">
        <v>92</v>
      </c>
      <c r="F60" s="14">
        <v>8117</v>
      </c>
      <c r="G60" s="24">
        <v>0</v>
      </c>
      <c r="H60" s="22"/>
      <c r="I60" s="22"/>
      <c r="J60" s="22"/>
      <c r="K60" s="22"/>
      <c r="L60" s="42">
        <f t="shared" si="31"/>
        <v>0</v>
      </c>
      <c r="M60" s="22">
        <f t="shared" si="32"/>
        <v>0</v>
      </c>
      <c r="N60" s="22">
        <f t="shared" si="33"/>
        <v>0</v>
      </c>
      <c r="O60" s="22">
        <f t="shared" si="34"/>
        <v>0</v>
      </c>
      <c r="P60" s="23">
        <f t="shared" si="35"/>
        <v>0</v>
      </c>
      <c r="Q60" s="106"/>
      <c r="R60" s="41">
        <f t="shared" si="36"/>
        <v>0</v>
      </c>
      <c r="S60" s="278" t="str">
        <f t="shared" si="37"/>
        <v/>
      </c>
      <c r="T60" s="74">
        <f t="shared" si="38"/>
        <v>0</v>
      </c>
      <c r="U60" s="275" t="str">
        <f t="shared" si="39"/>
        <v/>
      </c>
    </row>
    <row r="61" spans="2:21" outlineLevel="1" x14ac:dyDescent="0.3">
      <c r="B61" t="s">
        <v>93</v>
      </c>
      <c r="F61" s="14" t="s">
        <v>214</v>
      </c>
      <c r="G61" s="24">
        <v>0</v>
      </c>
      <c r="H61" s="22"/>
      <c r="I61" s="22"/>
      <c r="J61" s="22"/>
      <c r="K61" s="22"/>
      <c r="L61" s="42">
        <f t="shared" si="31"/>
        <v>0</v>
      </c>
      <c r="M61" s="22">
        <f t="shared" si="32"/>
        <v>0</v>
      </c>
      <c r="N61" s="22">
        <f t="shared" si="33"/>
        <v>0</v>
      </c>
      <c r="O61" s="22">
        <f t="shared" si="34"/>
        <v>0</v>
      </c>
      <c r="P61" s="23">
        <f t="shared" si="35"/>
        <v>0</v>
      </c>
      <c r="Q61" s="106"/>
      <c r="R61" s="41">
        <f t="shared" si="36"/>
        <v>0</v>
      </c>
      <c r="S61" s="278" t="str">
        <f t="shared" si="37"/>
        <v/>
      </c>
      <c r="T61" s="74">
        <f t="shared" si="38"/>
        <v>0</v>
      </c>
      <c r="U61" s="275" t="str">
        <f t="shared" si="39"/>
        <v/>
      </c>
    </row>
    <row r="62" spans="2:21" outlineLevel="1" x14ac:dyDescent="0.3">
      <c r="B62" t="s">
        <v>91</v>
      </c>
      <c r="F62" s="14">
        <v>8231</v>
      </c>
      <c r="G62" s="24">
        <v>0</v>
      </c>
      <c r="H62" s="22"/>
      <c r="I62" s="22"/>
      <c r="J62" s="22"/>
      <c r="K62" s="22"/>
      <c r="L62" s="42">
        <f t="shared" si="31"/>
        <v>0</v>
      </c>
      <c r="M62" s="22">
        <f t="shared" si="32"/>
        <v>0</v>
      </c>
      <c r="N62" s="22">
        <f t="shared" si="33"/>
        <v>0</v>
      </c>
      <c r="O62" s="22">
        <f t="shared" si="34"/>
        <v>0</v>
      </c>
      <c r="P62" s="23">
        <f t="shared" si="35"/>
        <v>0</v>
      </c>
      <c r="Q62" s="106"/>
      <c r="R62" s="41">
        <f t="shared" si="36"/>
        <v>0</v>
      </c>
      <c r="S62" s="278" t="str">
        <f t="shared" si="37"/>
        <v/>
      </c>
      <c r="T62" s="74">
        <f t="shared" si="38"/>
        <v>0</v>
      </c>
      <c r="U62" s="275" t="str">
        <f t="shared" si="39"/>
        <v/>
      </c>
    </row>
    <row r="63" spans="2:21" outlineLevel="1" x14ac:dyDescent="0.3">
      <c r="B63" t="s">
        <v>11</v>
      </c>
      <c r="F63" s="14"/>
      <c r="G63" s="24">
        <v>321.7</v>
      </c>
      <c r="H63" s="22"/>
      <c r="I63" s="22">
        <f>769</f>
        <v>769</v>
      </c>
      <c r="J63" s="22">
        <v>1001</v>
      </c>
      <c r="K63" s="22">
        <f>1628.26+165</f>
        <v>1793.26</v>
      </c>
      <c r="L63" s="42">
        <f t="shared" si="31"/>
        <v>0</v>
      </c>
      <c r="M63" s="22">
        <f t="shared" si="32"/>
        <v>769</v>
      </c>
      <c r="N63" s="22">
        <f t="shared" si="33"/>
        <v>232</v>
      </c>
      <c r="O63" s="22">
        <f t="shared" si="34"/>
        <v>792.26</v>
      </c>
      <c r="P63" s="23">
        <f t="shared" si="35"/>
        <v>1793.26</v>
      </c>
      <c r="Q63" s="106">
        <v>1000</v>
      </c>
      <c r="R63" s="41">
        <f t="shared" si="36"/>
        <v>793.26</v>
      </c>
      <c r="S63" s="278">
        <f t="shared" si="37"/>
        <v>1.7932600000000001</v>
      </c>
      <c r="T63" s="74">
        <f t="shared" si="38"/>
        <v>1471.56</v>
      </c>
      <c r="U63" s="275">
        <f t="shared" si="39"/>
        <v>5.5743239042586259</v>
      </c>
    </row>
    <row r="64" spans="2:21" outlineLevel="1" x14ac:dyDescent="0.3">
      <c r="B64" t="s">
        <v>12</v>
      </c>
      <c r="F64" s="14"/>
      <c r="G64" s="24">
        <v>104</v>
      </c>
      <c r="H64" s="22">
        <v>50</v>
      </c>
      <c r="I64" s="22">
        <f>385+50+20+10+175</f>
        <v>640</v>
      </c>
      <c r="J64" s="22">
        <v>640</v>
      </c>
      <c r="K64" s="22">
        <v>640</v>
      </c>
      <c r="L64" s="42">
        <f t="shared" si="31"/>
        <v>50</v>
      </c>
      <c r="M64" s="22">
        <f t="shared" si="32"/>
        <v>590</v>
      </c>
      <c r="N64" s="22">
        <f t="shared" si="33"/>
        <v>0</v>
      </c>
      <c r="O64" s="22">
        <f t="shared" si="34"/>
        <v>0</v>
      </c>
      <c r="P64" s="23">
        <f t="shared" si="35"/>
        <v>640</v>
      </c>
      <c r="Q64" s="106">
        <v>600</v>
      </c>
      <c r="R64" s="41">
        <f t="shared" si="36"/>
        <v>40</v>
      </c>
      <c r="S64" s="278">
        <f t="shared" si="37"/>
        <v>1.0666666666666667</v>
      </c>
      <c r="T64" s="74">
        <f t="shared" si="38"/>
        <v>536</v>
      </c>
      <c r="U64" s="275">
        <f t="shared" si="39"/>
        <v>6.1538461538461542</v>
      </c>
    </row>
    <row r="65" spans="1:21" outlineLevel="1" x14ac:dyDescent="0.3">
      <c r="B65" t="s">
        <v>94</v>
      </c>
      <c r="F65" s="14">
        <v>8232</v>
      </c>
      <c r="G65" s="24">
        <v>0</v>
      </c>
      <c r="H65" s="22"/>
      <c r="I65" s="22"/>
      <c r="J65" s="22"/>
      <c r="K65" s="22"/>
      <c r="L65" s="42">
        <f t="shared" si="31"/>
        <v>0</v>
      </c>
      <c r="M65" s="22">
        <f t="shared" si="32"/>
        <v>0</v>
      </c>
      <c r="N65" s="22">
        <f t="shared" si="33"/>
        <v>0</v>
      </c>
      <c r="O65" s="22">
        <f t="shared" si="34"/>
        <v>0</v>
      </c>
      <c r="P65" s="23">
        <f t="shared" si="35"/>
        <v>0</v>
      </c>
      <c r="Q65" s="106"/>
      <c r="R65" s="41">
        <f t="shared" si="36"/>
        <v>0</v>
      </c>
      <c r="S65" s="278" t="str">
        <f t="shared" si="37"/>
        <v/>
      </c>
      <c r="T65" s="74">
        <f t="shared" si="38"/>
        <v>0</v>
      </c>
      <c r="U65" s="275" t="str">
        <f t="shared" si="39"/>
        <v/>
      </c>
    </row>
    <row r="66" spans="1:21" outlineLevel="1" x14ac:dyDescent="0.3">
      <c r="B66" t="s">
        <v>97</v>
      </c>
      <c r="F66" s="14"/>
      <c r="G66" s="24">
        <v>925</v>
      </c>
      <c r="H66" s="22"/>
      <c r="I66" s="22">
        <v>937.5</v>
      </c>
      <c r="J66" s="22">
        <v>937.5</v>
      </c>
      <c r="K66" s="22">
        <v>937.5</v>
      </c>
      <c r="L66" s="42">
        <f t="shared" si="31"/>
        <v>0</v>
      </c>
      <c r="M66" s="22">
        <f t="shared" si="32"/>
        <v>937.5</v>
      </c>
      <c r="N66" s="22">
        <f t="shared" si="33"/>
        <v>0</v>
      </c>
      <c r="O66" s="22">
        <f t="shared" si="34"/>
        <v>0</v>
      </c>
      <c r="P66" s="23">
        <f t="shared" si="35"/>
        <v>937.5</v>
      </c>
      <c r="Q66" s="106">
        <v>1000</v>
      </c>
      <c r="R66" s="41">
        <f t="shared" si="36"/>
        <v>-62.5</v>
      </c>
      <c r="S66" s="278">
        <f t="shared" si="37"/>
        <v>0.9375</v>
      </c>
      <c r="T66" s="74">
        <f t="shared" si="38"/>
        <v>12.5</v>
      </c>
      <c r="U66" s="275">
        <f t="shared" si="39"/>
        <v>1.0135135135135136</v>
      </c>
    </row>
    <row r="67" spans="1:21" outlineLevel="1" x14ac:dyDescent="0.3">
      <c r="B67" t="s">
        <v>104</v>
      </c>
      <c r="F67" s="14"/>
      <c r="G67" s="24">
        <v>0</v>
      </c>
      <c r="H67" s="22">
        <v>50</v>
      </c>
      <c r="I67" s="22">
        <v>50</v>
      </c>
      <c r="J67" s="22">
        <v>50</v>
      </c>
      <c r="K67" s="22">
        <v>50</v>
      </c>
      <c r="L67" s="42">
        <f t="shared" si="31"/>
        <v>50</v>
      </c>
      <c r="M67" s="22">
        <f t="shared" si="32"/>
        <v>0</v>
      </c>
      <c r="N67" s="22">
        <f t="shared" si="33"/>
        <v>0</v>
      </c>
      <c r="O67" s="22">
        <f t="shared" si="34"/>
        <v>0</v>
      </c>
      <c r="P67" s="23">
        <f t="shared" si="35"/>
        <v>50</v>
      </c>
      <c r="Q67" s="106">
        <v>100</v>
      </c>
      <c r="R67" s="41">
        <f t="shared" si="36"/>
        <v>-50</v>
      </c>
      <c r="S67" s="278">
        <f t="shared" si="37"/>
        <v>0.5</v>
      </c>
      <c r="T67" s="74">
        <f t="shared" si="38"/>
        <v>50</v>
      </c>
      <c r="U67" s="275" t="str">
        <f t="shared" si="39"/>
        <v/>
      </c>
    </row>
    <row r="68" spans="1:21" outlineLevel="1" x14ac:dyDescent="0.3">
      <c r="B68" t="s">
        <v>197</v>
      </c>
      <c r="E68" t="s">
        <v>418</v>
      </c>
      <c r="F68" s="14"/>
      <c r="G68" s="24">
        <v>758.65</v>
      </c>
      <c r="H68" s="22">
        <f>H167</f>
        <v>200.39</v>
      </c>
      <c r="I68" s="22">
        <f>I167</f>
        <v>200.39</v>
      </c>
      <c r="J68" s="22">
        <f>J167</f>
        <v>200.39</v>
      </c>
      <c r="K68" s="22">
        <f>K167</f>
        <v>200.39</v>
      </c>
      <c r="L68" s="42">
        <f t="shared" si="31"/>
        <v>200.39</v>
      </c>
      <c r="M68" s="22">
        <f t="shared" si="32"/>
        <v>0</v>
      </c>
      <c r="N68" s="22">
        <f t="shared" si="33"/>
        <v>0</v>
      </c>
      <c r="O68" s="22">
        <f t="shared" si="34"/>
        <v>0</v>
      </c>
      <c r="P68" s="23">
        <f t="shared" si="35"/>
        <v>200.39</v>
      </c>
      <c r="Q68" s="106">
        <f>Q167</f>
        <v>500</v>
      </c>
      <c r="R68" s="41">
        <f t="shared" si="36"/>
        <v>-299.61</v>
      </c>
      <c r="S68" s="278">
        <f t="shared" si="37"/>
        <v>0.40077999999999997</v>
      </c>
      <c r="T68" s="74">
        <f t="shared" si="38"/>
        <v>-558.26</v>
      </c>
      <c r="U68" s="275">
        <f t="shared" si="39"/>
        <v>0.26414024912673828</v>
      </c>
    </row>
    <row r="69" spans="1:21" outlineLevel="1" x14ac:dyDescent="0.3">
      <c r="B69" t="s">
        <v>100</v>
      </c>
      <c r="F69" s="14"/>
      <c r="G69" s="24">
        <v>6299</v>
      </c>
      <c r="H69" s="22"/>
      <c r="I69" s="22">
        <v>2818.23</v>
      </c>
      <c r="J69" s="22">
        <v>3911.47</v>
      </c>
      <c r="K69" s="22">
        <v>5658.02</v>
      </c>
      <c r="L69" s="42">
        <f t="shared" si="31"/>
        <v>0</v>
      </c>
      <c r="M69" s="22">
        <f t="shared" si="32"/>
        <v>2818.23</v>
      </c>
      <c r="N69" s="22">
        <f t="shared" si="33"/>
        <v>1093.2399999999998</v>
      </c>
      <c r="O69" s="22">
        <f t="shared" si="34"/>
        <v>1746.5500000000006</v>
      </c>
      <c r="P69" s="23">
        <f t="shared" si="35"/>
        <v>5658.02</v>
      </c>
      <c r="Q69" s="106">
        <v>7000</v>
      </c>
      <c r="R69" s="41">
        <f t="shared" si="36"/>
        <v>-1341.9799999999996</v>
      </c>
      <c r="S69" s="278">
        <f t="shared" si="37"/>
        <v>0.80828857142857147</v>
      </c>
      <c r="T69" s="74">
        <f t="shared" si="38"/>
        <v>-640.97999999999956</v>
      </c>
      <c r="U69" s="275">
        <f t="shared" si="39"/>
        <v>0.89824099063343399</v>
      </c>
    </row>
    <row r="70" spans="1:21" outlineLevel="1" x14ac:dyDescent="0.3">
      <c r="B70" t="s">
        <v>101</v>
      </c>
      <c r="F70" s="14"/>
      <c r="G70" s="24">
        <v>2950.42</v>
      </c>
      <c r="H70" s="22">
        <v>1217.42</v>
      </c>
      <c r="I70" s="22">
        <v>1944.36</v>
      </c>
      <c r="J70" s="22">
        <v>2986.99</v>
      </c>
      <c r="K70" s="22">
        <v>3688.89</v>
      </c>
      <c r="L70" s="42">
        <f t="shared" si="31"/>
        <v>1217.42</v>
      </c>
      <c r="M70" s="22">
        <f t="shared" si="32"/>
        <v>726.93999999999983</v>
      </c>
      <c r="N70" s="22">
        <f t="shared" si="33"/>
        <v>1042.6299999999999</v>
      </c>
      <c r="O70" s="22">
        <f t="shared" si="34"/>
        <v>701.90000000000009</v>
      </c>
      <c r="P70" s="23">
        <f t="shared" si="35"/>
        <v>3688.89</v>
      </c>
      <c r="Q70" s="106">
        <v>3000</v>
      </c>
      <c r="R70" s="41">
        <f t="shared" si="36"/>
        <v>688.88999999999987</v>
      </c>
      <c r="S70" s="278">
        <f t="shared" si="37"/>
        <v>1.22963</v>
      </c>
      <c r="T70" s="74">
        <f t="shared" si="38"/>
        <v>738.4699999999998</v>
      </c>
      <c r="U70" s="275">
        <f t="shared" si="39"/>
        <v>1.2502931785983011</v>
      </c>
    </row>
    <row r="71" spans="1:21" outlineLevel="1" x14ac:dyDescent="0.3">
      <c r="B71" t="s">
        <v>420</v>
      </c>
      <c r="F71" s="14"/>
      <c r="G71" s="24">
        <v>0</v>
      </c>
      <c r="H71" s="22"/>
      <c r="I71" s="22"/>
      <c r="J71" s="22"/>
      <c r="K71" s="22"/>
      <c r="L71" s="42">
        <f>+H71</f>
        <v>0</v>
      </c>
      <c r="M71" s="22">
        <f>IF(I71=0,0,I71-H71)</f>
        <v>0</v>
      </c>
      <c r="N71" s="22">
        <f>IF(J71=0,0,J71-I71)</f>
        <v>0</v>
      </c>
      <c r="O71" s="22">
        <f>IF(K71=0,0,K71-J71)</f>
        <v>0</v>
      </c>
      <c r="P71" s="23">
        <f t="shared" si="35"/>
        <v>0</v>
      </c>
      <c r="Q71" s="106"/>
      <c r="R71" s="41">
        <f t="shared" si="36"/>
        <v>0</v>
      </c>
      <c r="S71" s="278" t="str">
        <f t="shared" si="37"/>
        <v/>
      </c>
      <c r="T71" s="74">
        <f>P71-G71</f>
        <v>0</v>
      </c>
      <c r="U71" s="275" t="str">
        <f t="shared" si="39"/>
        <v/>
      </c>
    </row>
    <row r="72" spans="1:21" outlineLevel="1" x14ac:dyDescent="0.3">
      <c r="B72" t="s">
        <v>96</v>
      </c>
      <c r="F72" s="14" t="s">
        <v>213</v>
      </c>
      <c r="G72" s="24">
        <v>0</v>
      </c>
      <c r="H72" s="22"/>
      <c r="I72" s="22"/>
      <c r="J72" s="22">
        <v>450</v>
      </c>
      <c r="K72" s="22">
        <v>450</v>
      </c>
      <c r="L72" s="42">
        <f t="shared" si="31"/>
        <v>0</v>
      </c>
      <c r="M72" s="22">
        <f>IF(I72=0,0,I72-H72)</f>
        <v>0</v>
      </c>
      <c r="N72" s="22">
        <f t="shared" si="33"/>
        <v>450</v>
      </c>
      <c r="O72" s="22">
        <f t="shared" si="34"/>
        <v>0</v>
      </c>
      <c r="P72" s="23">
        <f t="shared" si="35"/>
        <v>450</v>
      </c>
      <c r="Q72" s="106"/>
      <c r="R72" s="41">
        <f t="shared" si="36"/>
        <v>450</v>
      </c>
      <c r="S72" s="278" t="str">
        <f t="shared" si="37"/>
        <v/>
      </c>
      <c r="T72" s="74">
        <f>P72-G72</f>
        <v>450</v>
      </c>
      <c r="U72" s="275" t="str">
        <f t="shared" si="39"/>
        <v/>
      </c>
    </row>
    <row r="73" spans="1:21" outlineLevel="1" x14ac:dyDescent="0.3">
      <c r="F73" s="14"/>
      <c r="G73" s="24">
        <v>0</v>
      </c>
      <c r="H73" s="22"/>
      <c r="I73" s="22"/>
      <c r="J73" s="22"/>
      <c r="K73" s="22"/>
      <c r="L73" s="42">
        <f t="shared" si="31"/>
        <v>0</v>
      </c>
      <c r="M73" s="22">
        <f t="shared" si="32"/>
        <v>0</v>
      </c>
      <c r="N73" s="22">
        <f t="shared" si="33"/>
        <v>0</v>
      </c>
      <c r="O73" s="22">
        <f t="shared" si="34"/>
        <v>0</v>
      </c>
      <c r="P73" s="23">
        <f t="shared" si="35"/>
        <v>0</v>
      </c>
      <c r="Q73" s="81"/>
      <c r="R73" s="41">
        <f t="shared" si="36"/>
        <v>0</v>
      </c>
      <c r="S73" s="278" t="str">
        <f t="shared" si="37"/>
        <v/>
      </c>
      <c r="T73" s="74">
        <f>P73-G73</f>
        <v>0</v>
      </c>
      <c r="U73" s="275" t="str">
        <f t="shared" si="39"/>
        <v/>
      </c>
    </row>
    <row r="74" spans="1:21" outlineLevel="1" x14ac:dyDescent="0.3">
      <c r="F74" s="14"/>
      <c r="G74" s="24">
        <v>0</v>
      </c>
      <c r="H74" s="22"/>
      <c r="I74" s="22"/>
      <c r="J74" s="22"/>
      <c r="K74" s="22"/>
      <c r="L74" s="42">
        <f t="shared" si="31"/>
        <v>0</v>
      </c>
      <c r="M74" s="22">
        <f t="shared" si="32"/>
        <v>0</v>
      </c>
      <c r="N74" s="22">
        <f t="shared" si="33"/>
        <v>0</v>
      </c>
      <c r="O74" s="22">
        <f t="shared" si="34"/>
        <v>0</v>
      </c>
      <c r="P74" s="23">
        <f t="shared" si="35"/>
        <v>0</v>
      </c>
      <c r="Q74" s="81"/>
      <c r="R74" s="41">
        <f t="shared" si="36"/>
        <v>0</v>
      </c>
      <c r="S74" s="278" t="str">
        <f t="shared" si="37"/>
        <v/>
      </c>
      <c r="T74" s="74">
        <f>P74-G74</f>
        <v>0</v>
      </c>
      <c r="U74" s="275" t="str">
        <f t="shared" si="39"/>
        <v/>
      </c>
    </row>
    <row r="75" spans="1:21" outlineLevel="1" x14ac:dyDescent="0.3">
      <c r="F75" s="14"/>
      <c r="G75" s="24"/>
      <c r="H75" s="22"/>
      <c r="I75" s="22"/>
      <c r="J75" s="22"/>
      <c r="K75" s="22"/>
      <c r="L75" s="42"/>
      <c r="M75" s="22"/>
      <c r="N75" s="22"/>
      <c r="O75" s="22"/>
      <c r="P75" s="23"/>
      <c r="Q75" s="81"/>
      <c r="R75" s="41"/>
      <c r="S75" s="278" t="str">
        <f t="shared" si="37"/>
        <v/>
      </c>
      <c r="T75" s="74"/>
      <c r="U75" s="275" t="str">
        <f t="shared" si="39"/>
        <v/>
      </c>
    </row>
    <row r="76" spans="1:21" x14ac:dyDescent="0.3">
      <c r="A76" s="1" t="s">
        <v>106</v>
      </c>
      <c r="F76" s="14"/>
      <c r="G76" s="52">
        <f t="shared" ref="G76:Q76" si="40">SUM(G48:G75)</f>
        <v>29088.520100000002</v>
      </c>
      <c r="H76" s="53">
        <f t="shared" si="40"/>
        <v>19224.699999999997</v>
      </c>
      <c r="I76" s="53">
        <f t="shared" si="40"/>
        <v>25153.75</v>
      </c>
      <c r="J76" s="53">
        <f t="shared" si="40"/>
        <v>23065.14</v>
      </c>
      <c r="K76" s="53">
        <f t="shared" si="40"/>
        <v>27688.31</v>
      </c>
      <c r="L76" s="54">
        <f t="shared" si="40"/>
        <v>19224.699999999997</v>
      </c>
      <c r="M76" s="53">
        <f t="shared" si="40"/>
        <v>5929.0499999999984</v>
      </c>
      <c r="N76" s="53">
        <f t="shared" si="40"/>
        <v>-2088.6099999999997</v>
      </c>
      <c r="O76" s="342">
        <f t="shared" si="40"/>
        <v>4623.17</v>
      </c>
      <c r="P76" s="69">
        <f t="shared" si="40"/>
        <v>27688.31</v>
      </c>
      <c r="Q76" s="83">
        <f t="shared" si="40"/>
        <v>24933.200000000001</v>
      </c>
      <c r="R76" s="55">
        <f>SUM(R48:R75)</f>
        <v>2755.1099999999997</v>
      </c>
      <c r="S76" s="286">
        <f t="shared" si="37"/>
        <v>1.1104996550783695</v>
      </c>
      <c r="T76" s="76">
        <f>SUM(T48:T75)</f>
        <v>-1400.2100999999998</v>
      </c>
      <c r="U76" s="290">
        <f t="shared" si="39"/>
        <v>0.95186382479457932</v>
      </c>
    </row>
    <row r="77" spans="1:21" x14ac:dyDescent="0.3">
      <c r="F77" s="14"/>
      <c r="G77" s="24"/>
      <c r="H77" s="22"/>
      <c r="I77" s="22"/>
      <c r="J77" s="22"/>
      <c r="K77" s="22"/>
      <c r="L77" s="42"/>
      <c r="M77" s="22"/>
      <c r="N77" s="22"/>
      <c r="O77" s="22"/>
      <c r="P77" s="23"/>
      <c r="Q77" s="81"/>
      <c r="R77" s="41"/>
      <c r="S77" s="278"/>
      <c r="T77" s="74"/>
      <c r="U77" s="275"/>
    </row>
    <row r="78" spans="1:21" x14ac:dyDescent="0.3">
      <c r="A78" s="1" t="s">
        <v>107</v>
      </c>
      <c r="F78" s="14"/>
      <c r="G78" s="56">
        <f>G45-G76</f>
        <v>29236.5599</v>
      </c>
      <c r="H78" s="57">
        <f>H45-H76</f>
        <v>8985.3000000000029</v>
      </c>
      <c r="I78" s="57">
        <f t="shared" ref="I78:P78" si="41">I45-I76</f>
        <v>4526.25</v>
      </c>
      <c r="J78" s="57">
        <f t="shared" si="41"/>
        <v>8454.86</v>
      </c>
      <c r="K78" s="57">
        <f t="shared" si="41"/>
        <v>22458.69</v>
      </c>
      <c r="L78" s="58">
        <f t="shared" si="41"/>
        <v>8985.3000000000029</v>
      </c>
      <c r="M78" s="57">
        <f t="shared" si="41"/>
        <v>-4459.0499999999984</v>
      </c>
      <c r="N78" s="57">
        <f t="shared" si="41"/>
        <v>3928.6099999999997</v>
      </c>
      <c r="O78" s="57">
        <f t="shared" si="41"/>
        <v>14003.83</v>
      </c>
      <c r="P78" s="70">
        <f t="shared" si="41"/>
        <v>22458.69</v>
      </c>
      <c r="Q78" s="84">
        <f>Q45-Q76</f>
        <v>32866.720000000001</v>
      </c>
      <c r="R78" s="59">
        <f>R45-R76</f>
        <v>-10408.029999999999</v>
      </c>
      <c r="S78" s="297">
        <f>IF(Q78=0,"",P78/Q78)</f>
        <v>0.68332617310154464</v>
      </c>
      <c r="T78" s="77">
        <f>T45-T76</f>
        <v>-6777.8698999999997</v>
      </c>
      <c r="U78" s="299">
        <f>IF(G78=0,"",P78/G78)</f>
        <v>0.76817142908800284</v>
      </c>
    </row>
    <row r="79" spans="1:21" x14ac:dyDescent="0.3">
      <c r="F79" s="14"/>
      <c r="G79" s="24"/>
      <c r="H79" s="22"/>
      <c r="I79" s="22"/>
      <c r="J79" s="22"/>
      <c r="K79" s="22"/>
      <c r="L79" s="42"/>
      <c r="M79" s="22"/>
      <c r="N79" s="22"/>
      <c r="O79" s="22"/>
      <c r="P79" s="23"/>
      <c r="Q79" s="81"/>
      <c r="R79" s="41"/>
      <c r="S79" s="257"/>
      <c r="T79" s="74"/>
      <c r="U79" s="259"/>
    </row>
    <row r="80" spans="1:21" x14ac:dyDescent="0.3">
      <c r="A80" s="1" t="s">
        <v>360</v>
      </c>
      <c r="F80" s="14"/>
      <c r="G80" s="44">
        <f>SUM(G81:G84)</f>
        <v>1717.1399999999999</v>
      </c>
      <c r="H80" s="45">
        <f>SUM(H81:H84)</f>
        <v>394.02</v>
      </c>
      <c r="I80" s="45">
        <f t="shared" ref="I80:P80" si="42">SUM(I81:I84)</f>
        <v>799.33</v>
      </c>
      <c r="J80" s="45">
        <f t="shared" si="42"/>
        <v>1219.21</v>
      </c>
      <c r="K80" s="45">
        <f t="shared" si="42"/>
        <v>1634.86</v>
      </c>
      <c r="L80" s="46">
        <f t="shared" si="42"/>
        <v>394.02</v>
      </c>
      <c r="M80" s="45">
        <f t="shared" si="42"/>
        <v>405.31000000000006</v>
      </c>
      <c r="N80" s="45">
        <f t="shared" si="42"/>
        <v>419.88000000000005</v>
      </c>
      <c r="O80" s="45">
        <f t="shared" si="42"/>
        <v>415.64999999999986</v>
      </c>
      <c r="P80" s="68">
        <f t="shared" si="42"/>
        <v>1634.86</v>
      </c>
      <c r="Q80" s="82">
        <f>SUM(Q81:Q84)</f>
        <v>2040</v>
      </c>
      <c r="R80" s="47">
        <f>SUM(R82:R85)</f>
        <v>-405.14000000000004</v>
      </c>
      <c r="S80" s="276">
        <f t="shared" ref="S80:S86" si="43">IF(Q80=0,"",P80/Q80)</f>
        <v>0.80140196078431369</v>
      </c>
      <c r="T80" s="75">
        <f>SUM(T82:T85)</f>
        <v>-82.28000000000003</v>
      </c>
      <c r="U80" s="332">
        <f t="shared" ref="U80:U86" si="44">IF(G80=0,"",P80/G80)</f>
        <v>0.95208311494694664</v>
      </c>
    </row>
    <row r="81" spans="1:21" outlineLevel="1" x14ac:dyDescent="0.3">
      <c r="B81" t="s">
        <v>108</v>
      </c>
      <c r="F81" s="14"/>
      <c r="G81" s="24"/>
      <c r="H81" s="22"/>
      <c r="I81" s="22"/>
      <c r="J81" s="22"/>
      <c r="K81" s="22"/>
      <c r="L81" s="42"/>
      <c r="M81" s="22"/>
      <c r="N81" s="22"/>
      <c r="O81" s="22"/>
      <c r="P81" s="23"/>
      <c r="Q81" s="81"/>
      <c r="R81" s="41"/>
      <c r="S81" s="278" t="str">
        <f t="shared" si="43"/>
        <v/>
      </c>
      <c r="T81" s="74"/>
      <c r="U81" s="275" t="str">
        <f t="shared" si="44"/>
        <v/>
      </c>
    </row>
    <row r="82" spans="1:21" outlineLevel="1" x14ac:dyDescent="0.3">
      <c r="C82" t="s">
        <v>358</v>
      </c>
      <c r="F82" s="14"/>
      <c r="G82" s="24">
        <v>1697.54</v>
      </c>
      <c r="H82" s="22">
        <v>389.81</v>
      </c>
      <c r="I82" s="22">
        <v>790.58</v>
      </c>
      <c r="J82" s="22">
        <v>1205.92</v>
      </c>
      <c r="K82" s="22">
        <v>1617.07</v>
      </c>
      <c r="L82" s="42">
        <f>+H82</f>
        <v>389.81</v>
      </c>
      <c r="M82" s="22">
        <f t="shared" ref="M82:O86" si="45">IF(I82=0,0,I82-H82)</f>
        <v>400.77000000000004</v>
      </c>
      <c r="N82" s="22">
        <f t="shared" si="45"/>
        <v>415.34000000000003</v>
      </c>
      <c r="O82" s="22">
        <f t="shared" si="45"/>
        <v>411.14999999999986</v>
      </c>
      <c r="P82" s="23">
        <f>SUM(L82:O82)</f>
        <v>1617.07</v>
      </c>
      <c r="Q82" s="81">
        <v>2000</v>
      </c>
      <c r="R82" s="41">
        <f>P82-Q82</f>
        <v>-382.93000000000006</v>
      </c>
      <c r="S82" s="278">
        <f t="shared" si="43"/>
        <v>0.808535</v>
      </c>
      <c r="T82" s="74">
        <f>P82-G82</f>
        <v>-80.470000000000027</v>
      </c>
      <c r="U82" s="275">
        <f t="shared" si="44"/>
        <v>0.95259610966457342</v>
      </c>
    </row>
    <row r="83" spans="1:21" outlineLevel="1" x14ac:dyDescent="0.3">
      <c r="B83" t="s">
        <v>359</v>
      </c>
      <c r="F83" s="14">
        <v>5310</v>
      </c>
      <c r="G83" s="24">
        <v>19.600000000000001</v>
      </c>
      <c r="H83" s="22">
        <v>4.21</v>
      </c>
      <c r="I83" s="22">
        <v>8.75</v>
      </c>
      <c r="J83" s="22">
        <v>13.29</v>
      </c>
      <c r="K83" s="22">
        <v>17.79</v>
      </c>
      <c r="L83" s="42">
        <f>+H83</f>
        <v>4.21</v>
      </c>
      <c r="M83" s="22">
        <f t="shared" si="45"/>
        <v>4.54</v>
      </c>
      <c r="N83" s="22">
        <f t="shared" si="45"/>
        <v>4.5399999999999991</v>
      </c>
      <c r="O83" s="22">
        <f t="shared" si="45"/>
        <v>4.5</v>
      </c>
      <c r="P83" s="23">
        <f>SUM(L83:O83)</f>
        <v>17.79</v>
      </c>
      <c r="Q83" s="81">
        <v>40</v>
      </c>
      <c r="R83" s="41">
        <f>P83-Q83</f>
        <v>-22.21</v>
      </c>
      <c r="S83" s="278">
        <f t="shared" si="43"/>
        <v>0.44474999999999998</v>
      </c>
      <c r="T83" s="74">
        <f>P83-G83</f>
        <v>-1.8100000000000023</v>
      </c>
      <c r="U83" s="275">
        <f t="shared" si="44"/>
        <v>0.90765306122448963</v>
      </c>
    </row>
    <row r="84" spans="1:21" outlineLevel="1" x14ac:dyDescent="0.3">
      <c r="F84" s="14"/>
      <c r="G84" s="24">
        <v>0</v>
      </c>
      <c r="H84" s="22"/>
      <c r="I84" s="22"/>
      <c r="J84" s="22"/>
      <c r="K84" s="22"/>
      <c r="L84" s="42">
        <f>+H84</f>
        <v>0</v>
      </c>
      <c r="M84" s="22">
        <f t="shared" si="45"/>
        <v>0</v>
      </c>
      <c r="N84" s="22">
        <f t="shared" si="45"/>
        <v>0</v>
      </c>
      <c r="O84" s="22">
        <f t="shared" si="45"/>
        <v>0</v>
      </c>
      <c r="P84" s="23">
        <f>SUM(L84:O84)</f>
        <v>0</v>
      </c>
      <c r="Q84" s="81"/>
      <c r="R84" s="41">
        <f>P84-Q84</f>
        <v>0</v>
      </c>
      <c r="S84" s="278" t="str">
        <f t="shared" si="43"/>
        <v/>
      </c>
      <c r="T84" s="74">
        <f>P84-G84</f>
        <v>0</v>
      </c>
      <c r="U84" s="275" t="str">
        <f t="shared" si="44"/>
        <v/>
      </c>
    </row>
    <row r="85" spans="1:21" x14ac:dyDescent="0.3">
      <c r="F85" s="14"/>
      <c r="G85" s="24"/>
      <c r="H85" s="22"/>
      <c r="I85" s="22"/>
      <c r="J85" s="22"/>
      <c r="K85" s="22"/>
      <c r="L85" s="42"/>
      <c r="M85" s="22"/>
      <c r="N85" s="22"/>
      <c r="O85" s="22"/>
      <c r="P85" s="23"/>
      <c r="Q85" s="81"/>
      <c r="R85" s="41"/>
      <c r="S85" s="278" t="str">
        <f t="shared" si="43"/>
        <v/>
      </c>
      <c r="T85" s="74"/>
      <c r="U85" s="275" t="str">
        <f t="shared" si="44"/>
        <v/>
      </c>
    </row>
    <row r="86" spans="1:21" x14ac:dyDescent="0.3">
      <c r="A86" s="1" t="s">
        <v>361</v>
      </c>
      <c r="F86" s="14"/>
      <c r="G86" s="44">
        <v>0</v>
      </c>
      <c r="H86" s="45"/>
      <c r="I86" s="45"/>
      <c r="J86" s="45"/>
      <c r="K86" s="45"/>
      <c r="L86" s="46">
        <f>+H86</f>
        <v>0</v>
      </c>
      <c r="M86" s="45">
        <f t="shared" si="45"/>
        <v>0</v>
      </c>
      <c r="N86" s="45">
        <f>IF(J86=0,0,J86-I86)</f>
        <v>0</v>
      </c>
      <c r="O86" s="45">
        <f>IF(K86=0,0,K86-J86)</f>
        <v>0</v>
      </c>
      <c r="P86" s="68">
        <f>SUM(L86:O86)</f>
        <v>0</v>
      </c>
      <c r="Q86" s="82">
        <v>0</v>
      </c>
      <c r="R86" s="47">
        <f>P86-Q86</f>
        <v>0</v>
      </c>
      <c r="S86" s="276" t="str">
        <f t="shared" si="43"/>
        <v/>
      </c>
      <c r="T86" s="75">
        <f>P86-G86</f>
        <v>0</v>
      </c>
      <c r="U86" s="332" t="str">
        <f t="shared" si="44"/>
        <v/>
      </c>
    </row>
    <row r="87" spans="1:21" x14ac:dyDescent="0.3">
      <c r="F87" s="14"/>
      <c r="G87" s="24"/>
      <c r="H87" s="22"/>
      <c r="I87" s="22"/>
      <c r="J87" s="22"/>
      <c r="K87" s="22"/>
      <c r="L87" s="42"/>
      <c r="M87" s="22"/>
      <c r="N87" s="22"/>
      <c r="O87" s="22"/>
      <c r="P87" s="23"/>
      <c r="Q87" s="81"/>
      <c r="R87" s="41"/>
      <c r="S87" s="278"/>
      <c r="T87" s="74"/>
      <c r="U87" s="275"/>
    </row>
    <row r="88" spans="1:21" ht="14" thickBot="1" x14ac:dyDescent="0.35">
      <c r="A88" s="1" t="s">
        <v>200</v>
      </c>
      <c r="F88" s="14"/>
      <c r="G88" s="60">
        <f>G78+G80-G86</f>
        <v>30953.6999</v>
      </c>
      <c r="H88" s="61">
        <f>H78+H80-H86</f>
        <v>9379.3200000000033</v>
      </c>
      <c r="I88" s="61">
        <f t="shared" ref="I88:R88" si="46">I78+I80-I86</f>
        <v>5325.58</v>
      </c>
      <c r="J88" s="61">
        <f t="shared" si="46"/>
        <v>9674.07</v>
      </c>
      <c r="K88" s="61">
        <f t="shared" si="46"/>
        <v>24093.55</v>
      </c>
      <c r="L88" s="62">
        <f t="shared" si="46"/>
        <v>9379.3200000000033</v>
      </c>
      <c r="M88" s="61">
        <f t="shared" si="46"/>
        <v>-4053.7399999999984</v>
      </c>
      <c r="N88" s="61">
        <f t="shared" si="46"/>
        <v>4348.49</v>
      </c>
      <c r="O88" s="61">
        <f t="shared" si="46"/>
        <v>14419.48</v>
      </c>
      <c r="P88" s="71">
        <f t="shared" si="46"/>
        <v>24093.55</v>
      </c>
      <c r="Q88" s="85">
        <f>Q78+Q80-Q86</f>
        <v>34906.720000000001</v>
      </c>
      <c r="R88" s="63">
        <f t="shared" si="46"/>
        <v>-10813.169999999998</v>
      </c>
      <c r="S88" s="304">
        <f>IF(Q88=0,"",P88/Q88)</f>
        <v>0.69022669560474315</v>
      </c>
      <c r="T88" s="78">
        <f>T78+-T86</f>
        <v>-6777.8698999999997</v>
      </c>
      <c r="U88" s="305">
        <f>IF(G88=0,"",P88/G88)</f>
        <v>0.7783738318145289</v>
      </c>
    </row>
    <row r="89" spans="1:21" x14ac:dyDescent="0.3">
      <c r="A89" s="1"/>
      <c r="F89" s="14"/>
      <c r="G89" s="32"/>
      <c r="H89" s="22"/>
      <c r="I89" s="22"/>
      <c r="J89" s="22"/>
      <c r="K89" s="22"/>
      <c r="L89" s="43"/>
      <c r="M89" s="30"/>
      <c r="N89" s="30"/>
      <c r="O89" s="22"/>
      <c r="P89" s="31"/>
      <c r="Q89" s="81"/>
      <c r="R89" s="41"/>
      <c r="S89" s="257"/>
      <c r="T89" s="74"/>
      <c r="U89" s="275"/>
    </row>
    <row r="90" spans="1:21" x14ac:dyDescent="0.3">
      <c r="A90" s="1" t="s">
        <v>275</v>
      </c>
      <c r="F90" s="14"/>
      <c r="G90" s="32"/>
      <c r="H90" s="22"/>
      <c r="I90" s="22"/>
      <c r="J90" s="22"/>
      <c r="K90" s="22"/>
      <c r="L90" s="43"/>
      <c r="M90" s="30"/>
      <c r="N90" s="30"/>
      <c r="O90" s="22"/>
      <c r="P90" s="31"/>
      <c r="Q90" s="81"/>
      <c r="R90" s="41"/>
      <c r="S90" s="257"/>
      <c r="T90" s="74"/>
      <c r="U90" s="275"/>
    </row>
    <row r="91" spans="1:21" x14ac:dyDescent="0.3">
      <c r="A91" s="1"/>
      <c r="B91" t="s">
        <v>276</v>
      </c>
      <c r="F91" s="14"/>
      <c r="G91" s="32">
        <v>0</v>
      </c>
      <c r="H91" s="22"/>
      <c r="I91" s="22"/>
      <c r="J91" s="22"/>
      <c r="K91" s="22"/>
      <c r="L91" s="43"/>
      <c r="M91" s="30"/>
      <c r="N91" s="30"/>
      <c r="O91" s="22"/>
      <c r="P91" s="31">
        <f>SUM(L91:O91)</f>
        <v>0</v>
      </c>
      <c r="Q91" s="81"/>
      <c r="R91" s="41">
        <f>P91-Q91</f>
        <v>0</v>
      </c>
      <c r="S91" s="278" t="str">
        <f>IF(Q91=0,"",P91/Q91)</f>
        <v/>
      </c>
      <c r="T91" s="74">
        <f>P91-G91</f>
        <v>0</v>
      </c>
      <c r="U91" s="275" t="str">
        <f>IF(G91=0,"",P91/G91)</f>
        <v/>
      </c>
    </row>
    <row r="92" spans="1:21" x14ac:dyDescent="0.3">
      <c r="A92" s="1"/>
      <c r="B92" t="s">
        <v>261</v>
      </c>
      <c r="F92" s="14"/>
      <c r="G92" s="32">
        <v>0</v>
      </c>
      <c r="H92" s="22"/>
      <c r="I92" s="22"/>
      <c r="J92" s="22"/>
      <c r="K92" s="22"/>
      <c r="L92" s="43"/>
      <c r="M92" s="30"/>
      <c r="N92" s="30"/>
      <c r="O92" s="22"/>
      <c r="P92" s="31">
        <f>SUM(L92:O92)</f>
        <v>0</v>
      </c>
      <c r="Q92" s="81"/>
      <c r="R92" s="41">
        <f>P92-Q92</f>
        <v>0</v>
      </c>
      <c r="S92" s="278" t="str">
        <f>IF(Q92=0,"",P92/Q92)</f>
        <v/>
      </c>
      <c r="T92" s="74">
        <f>P92-G92</f>
        <v>0</v>
      </c>
      <c r="U92" s="275" t="str">
        <f>IF(G92=0,"",P92/G92)</f>
        <v/>
      </c>
    </row>
    <row r="93" spans="1:21" x14ac:dyDescent="0.3">
      <c r="A93" s="1"/>
      <c r="F93" s="14"/>
      <c r="G93" s="32"/>
      <c r="H93" s="22"/>
      <c r="I93" s="22"/>
      <c r="J93" s="22"/>
      <c r="K93" s="22"/>
      <c r="L93" s="43"/>
      <c r="M93" s="30"/>
      <c r="N93" s="30"/>
      <c r="O93" s="22"/>
      <c r="P93" s="31"/>
      <c r="Q93" s="81"/>
      <c r="R93" s="41"/>
      <c r="S93" s="278"/>
      <c r="T93" s="74"/>
      <c r="U93" s="275"/>
    </row>
    <row r="94" spans="1:21" x14ac:dyDescent="0.3">
      <c r="A94" s="1"/>
      <c r="B94" s="1" t="s">
        <v>277</v>
      </c>
      <c r="F94" s="14"/>
      <c r="G94" s="44">
        <v>0</v>
      </c>
      <c r="H94" s="45">
        <f>+H91+H92</f>
        <v>0</v>
      </c>
      <c r="I94" s="45">
        <f t="shared" ref="I94:P94" si="47">+I91+I92</f>
        <v>0</v>
      </c>
      <c r="J94" s="45">
        <f t="shared" si="47"/>
        <v>0</v>
      </c>
      <c r="K94" s="45">
        <f t="shared" si="47"/>
        <v>0</v>
      </c>
      <c r="L94" s="46">
        <f t="shared" si="47"/>
        <v>0</v>
      </c>
      <c r="M94" s="45">
        <f t="shared" si="47"/>
        <v>0</v>
      </c>
      <c r="N94" s="45">
        <f t="shared" si="47"/>
        <v>0</v>
      </c>
      <c r="O94" s="45">
        <f t="shared" si="47"/>
        <v>0</v>
      </c>
      <c r="P94" s="68">
        <f t="shared" si="47"/>
        <v>0</v>
      </c>
      <c r="Q94" s="82">
        <v>0</v>
      </c>
      <c r="R94" s="47">
        <f>R91+R92</f>
        <v>0</v>
      </c>
      <c r="S94" s="276" t="str">
        <f>IF(Q94=0,"",P94/Q94)</f>
        <v/>
      </c>
      <c r="T94" s="75">
        <f>T91+T92</f>
        <v>0</v>
      </c>
      <c r="U94" s="310" t="str">
        <f>IF(G94=0,"",P94/G94)</f>
        <v/>
      </c>
    </row>
    <row r="95" spans="1:21" x14ac:dyDescent="0.3">
      <c r="A95" s="1"/>
      <c r="F95" s="14"/>
      <c r="G95" s="32"/>
      <c r="H95" s="22"/>
      <c r="I95" s="22"/>
      <c r="J95" s="22"/>
      <c r="K95" s="22"/>
      <c r="L95" s="43"/>
      <c r="M95" s="30"/>
      <c r="N95" s="30"/>
      <c r="O95" s="22"/>
      <c r="P95" s="31"/>
      <c r="Q95" s="81"/>
      <c r="R95" s="41"/>
      <c r="S95" s="278"/>
      <c r="T95" s="74"/>
      <c r="U95" s="311"/>
    </row>
    <row r="96" spans="1:21" ht="14" thickBot="1" x14ac:dyDescent="0.35">
      <c r="A96" s="1" t="s">
        <v>362</v>
      </c>
      <c r="F96" s="14"/>
      <c r="G96" s="64">
        <v>30953.7</v>
      </c>
      <c r="H96" s="65">
        <f>+H88-H94</f>
        <v>9379.3200000000033</v>
      </c>
      <c r="I96" s="65">
        <f t="shared" ref="I96:P96" si="48">+I88-I94</f>
        <v>5325.58</v>
      </c>
      <c r="J96" s="65">
        <f t="shared" si="48"/>
        <v>9674.07</v>
      </c>
      <c r="K96" s="65">
        <f t="shared" si="48"/>
        <v>24093.55</v>
      </c>
      <c r="L96" s="66">
        <f t="shared" si="48"/>
        <v>9379.3200000000033</v>
      </c>
      <c r="M96" s="65">
        <f t="shared" si="48"/>
        <v>-4053.7399999999984</v>
      </c>
      <c r="N96" s="65">
        <f t="shared" si="48"/>
        <v>4348.49</v>
      </c>
      <c r="O96" s="65">
        <f t="shared" si="48"/>
        <v>14419.48</v>
      </c>
      <c r="P96" s="343">
        <f t="shared" si="48"/>
        <v>24093.55</v>
      </c>
      <c r="Q96" s="86">
        <f>+Q88-Q94</f>
        <v>34906.720000000001</v>
      </c>
      <c r="R96" s="67">
        <f>R88-R94</f>
        <v>-10813.169999999998</v>
      </c>
      <c r="S96" s="317">
        <f>IF(Q96=0,"",P96/Q96)</f>
        <v>0.69022669560474315</v>
      </c>
      <c r="T96" s="79">
        <f>T88-T94</f>
        <v>-6777.8698999999997</v>
      </c>
      <c r="U96" s="319">
        <f>IF(G96=0,"",P96/G96)</f>
        <v>0.77837382929988974</v>
      </c>
    </row>
    <row r="97" spans="1:21" ht="14" thickTop="1" x14ac:dyDescent="0.3">
      <c r="F97" s="14"/>
      <c r="G97" s="24"/>
      <c r="H97" s="22"/>
      <c r="I97" s="22"/>
      <c r="J97" s="22"/>
      <c r="K97" s="22"/>
      <c r="L97" s="42"/>
      <c r="M97" s="22"/>
      <c r="N97" s="22"/>
      <c r="O97" s="22"/>
      <c r="P97" s="23"/>
      <c r="Q97" s="81"/>
      <c r="R97" s="41"/>
      <c r="S97" s="257"/>
      <c r="T97" s="74"/>
      <c r="U97" s="275"/>
    </row>
    <row r="98" spans="1:21" x14ac:dyDescent="0.3">
      <c r="A98" s="1" t="s">
        <v>14</v>
      </c>
      <c r="F98" s="14"/>
      <c r="G98" s="24"/>
      <c r="H98" s="22"/>
      <c r="I98" s="22"/>
      <c r="J98" s="22"/>
      <c r="K98" s="22"/>
      <c r="L98" s="42"/>
      <c r="M98" s="22"/>
      <c r="N98" s="22"/>
      <c r="O98" s="22"/>
      <c r="P98" s="23"/>
      <c r="Q98" s="81"/>
      <c r="R98" s="41"/>
      <c r="S98" s="257"/>
      <c r="T98" s="74"/>
      <c r="U98" s="275"/>
    </row>
    <row r="99" spans="1:21" outlineLevel="1" x14ac:dyDescent="0.3">
      <c r="B99" t="s">
        <v>364</v>
      </c>
      <c r="F99" s="14"/>
      <c r="G99" s="24">
        <v>-12189</v>
      </c>
      <c r="H99" s="22"/>
      <c r="I99" s="22">
        <v>-12407</v>
      </c>
      <c r="J99" s="22">
        <v>-12407</v>
      </c>
      <c r="K99" s="22">
        <v>-12407</v>
      </c>
      <c r="L99" s="42">
        <f t="shared" ref="L99:L107" si="49">+H99</f>
        <v>0</v>
      </c>
      <c r="M99" s="22">
        <f t="shared" ref="M99:M107" si="50">IF(I99=0,0,I99-H99)</f>
        <v>-12407</v>
      </c>
      <c r="N99" s="22">
        <f t="shared" ref="N99:N107" si="51">IF(J99=0,0,J99-I99)</f>
        <v>0</v>
      </c>
      <c r="O99" s="22">
        <f t="shared" ref="O99:O107" si="52">IF(K99=0,0,K99-J99)</f>
        <v>0</v>
      </c>
      <c r="P99" s="23">
        <f t="shared" ref="P99:P107" si="53">SUM(L99:O99)</f>
        <v>-12407</v>
      </c>
      <c r="Q99" s="81">
        <v>-12000</v>
      </c>
      <c r="R99" s="41">
        <f t="shared" ref="R99:R107" si="54">P99-Q99</f>
        <v>-407</v>
      </c>
      <c r="S99" s="278">
        <f t="shared" ref="S99:S107" si="55">IF(Q99=0,"",P99/Q99)</f>
        <v>1.0339166666666666</v>
      </c>
      <c r="T99" s="74">
        <f t="shared" ref="T99:T107" si="56">P99-G99</f>
        <v>-218</v>
      </c>
      <c r="U99" s="275">
        <f t="shared" ref="U99:U107" si="57">IF(G99=0,"",P99/G99)</f>
        <v>1.017884978259086</v>
      </c>
    </row>
    <row r="100" spans="1:21" outlineLevel="1" x14ac:dyDescent="0.3">
      <c r="B100" t="s">
        <v>363</v>
      </c>
      <c r="F100" s="14">
        <v>5491</v>
      </c>
      <c r="G100" s="24">
        <v>-9141</v>
      </c>
      <c r="H100" s="22"/>
      <c r="I100" s="22">
        <v>-9305</v>
      </c>
      <c r="J100" s="22">
        <v>-9305</v>
      </c>
      <c r="K100" s="22">
        <v>-9305</v>
      </c>
      <c r="L100" s="42">
        <f t="shared" si="49"/>
        <v>0</v>
      </c>
      <c r="M100" s="22">
        <f t="shared" si="50"/>
        <v>-9305</v>
      </c>
      <c r="N100" s="22">
        <f t="shared" si="51"/>
        <v>0</v>
      </c>
      <c r="O100" s="22">
        <f t="shared" si="52"/>
        <v>0</v>
      </c>
      <c r="P100" s="23">
        <f t="shared" si="53"/>
        <v>-9305</v>
      </c>
      <c r="Q100" s="81">
        <v>-9200</v>
      </c>
      <c r="R100" s="41">
        <f t="shared" si="54"/>
        <v>-105</v>
      </c>
      <c r="S100" s="278">
        <f t="shared" si="55"/>
        <v>1.0114130434782609</v>
      </c>
      <c r="T100" s="74">
        <f t="shared" si="56"/>
        <v>-164</v>
      </c>
      <c r="U100" s="275">
        <f t="shared" si="57"/>
        <v>1.0179411442949349</v>
      </c>
    </row>
    <row r="101" spans="1:21" outlineLevel="1" x14ac:dyDescent="0.3">
      <c r="B101" t="s">
        <v>365</v>
      </c>
      <c r="F101" s="14"/>
      <c r="G101" s="24">
        <v>-6000</v>
      </c>
      <c r="H101" s="22">
        <v>-6000</v>
      </c>
      <c r="I101" s="22">
        <v>-6000</v>
      </c>
      <c r="J101" s="22">
        <v>-6000</v>
      </c>
      <c r="K101" s="22">
        <v>-6000</v>
      </c>
      <c r="L101" s="42">
        <f t="shared" si="49"/>
        <v>-6000</v>
      </c>
      <c r="M101" s="22">
        <f t="shared" si="50"/>
        <v>0</v>
      </c>
      <c r="N101" s="22">
        <f t="shared" si="51"/>
        <v>0</v>
      </c>
      <c r="O101" s="22">
        <f t="shared" si="52"/>
        <v>0</v>
      </c>
      <c r="P101" s="23">
        <f t="shared" si="53"/>
        <v>-6000</v>
      </c>
      <c r="Q101" s="81">
        <v>-6000</v>
      </c>
      <c r="R101" s="41">
        <f t="shared" si="54"/>
        <v>0</v>
      </c>
      <c r="S101" s="278">
        <f t="shared" si="55"/>
        <v>1</v>
      </c>
      <c r="T101" s="74">
        <f t="shared" si="56"/>
        <v>0</v>
      </c>
      <c r="U101" s="275">
        <f t="shared" si="57"/>
        <v>1</v>
      </c>
    </row>
    <row r="102" spans="1:21" outlineLevel="1" x14ac:dyDescent="0.3">
      <c r="B102" t="s">
        <v>273</v>
      </c>
      <c r="F102" s="14"/>
      <c r="G102" s="24">
        <v>0</v>
      </c>
      <c r="H102" s="22"/>
      <c r="I102" s="22"/>
      <c r="J102" s="22"/>
      <c r="K102" s="22"/>
      <c r="L102" s="42">
        <f t="shared" si="49"/>
        <v>0</v>
      </c>
      <c r="M102" s="22">
        <f t="shared" si="50"/>
        <v>0</v>
      </c>
      <c r="N102" s="22">
        <f t="shared" si="51"/>
        <v>0</v>
      </c>
      <c r="O102" s="22">
        <f t="shared" si="52"/>
        <v>0</v>
      </c>
      <c r="P102" s="23">
        <f t="shared" si="53"/>
        <v>0</v>
      </c>
      <c r="Q102" s="81"/>
      <c r="R102" s="41">
        <f t="shared" si="54"/>
        <v>0</v>
      </c>
      <c r="S102" s="278" t="str">
        <f t="shared" si="55"/>
        <v/>
      </c>
      <c r="T102" s="74">
        <f t="shared" si="56"/>
        <v>0</v>
      </c>
      <c r="U102" s="275" t="str">
        <f t="shared" si="57"/>
        <v/>
      </c>
    </row>
    <row r="103" spans="1:21" outlineLevel="1" x14ac:dyDescent="0.3">
      <c r="B103" t="s">
        <v>274</v>
      </c>
      <c r="F103" s="14"/>
      <c r="G103" s="24">
        <v>0</v>
      </c>
      <c r="H103" s="22"/>
      <c r="I103" s="22"/>
      <c r="J103" s="22"/>
      <c r="K103" s="22"/>
      <c r="L103" s="42">
        <f t="shared" si="49"/>
        <v>0</v>
      </c>
      <c r="M103" s="22">
        <f t="shared" si="50"/>
        <v>0</v>
      </c>
      <c r="N103" s="22">
        <f t="shared" si="51"/>
        <v>0</v>
      </c>
      <c r="O103" s="22">
        <f t="shared" si="52"/>
        <v>0</v>
      </c>
      <c r="P103" s="23">
        <f t="shared" si="53"/>
        <v>0</v>
      </c>
      <c r="Q103" s="81"/>
      <c r="R103" s="41">
        <f t="shared" si="54"/>
        <v>0</v>
      </c>
      <c r="S103" s="278" t="str">
        <f t="shared" si="55"/>
        <v/>
      </c>
      <c r="T103" s="74">
        <f t="shared" si="56"/>
        <v>0</v>
      </c>
      <c r="U103" s="275" t="str">
        <f t="shared" si="57"/>
        <v/>
      </c>
    </row>
    <row r="104" spans="1:21" outlineLevel="1" x14ac:dyDescent="0.3">
      <c r="B104" t="s">
        <v>367</v>
      </c>
      <c r="F104" s="14"/>
      <c r="G104" s="24">
        <v>0</v>
      </c>
      <c r="H104" s="22"/>
      <c r="I104" s="22"/>
      <c r="J104" s="22"/>
      <c r="K104" s="22"/>
      <c r="L104" s="42">
        <f t="shared" si="49"/>
        <v>0</v>
      </c>
      <c r="M104" s="22">
        <f t="shared" si="50"/>
        <v>0</v>
      </c>
      <c r="N104" s="22">
        <f t="shared" si="51"/>
        <v>0</v>
      </c>
      <c r="O104" s="22">
        <f t="shared" si="52"/>
        <v>0</v>
      </c>
      <c r="P104" s="23">
        <f t="shared" si="53"/>
        <v>0</v>
      </c>
      <c r="Q104" s="81"/>
      <c r="R104" s="41">
        <f t="shared" si="54"/>
        <v>0</v>
      </c>
      <c r="S104" s="278" t="str">
        <f t="shared" si="55"/>
        <v/>
      </c>
      <c r="T104" s="74">
        <f t="shared" si="56"/>
        <v>0</v>
      </c>
      <c r="U104" s="275" t="str">
        <f t="shared" si="57"/>
        <v/>
      </c>
    </row>
    <row r="105" spans="1:21" outlineLevel="1" x14ac:dyDescent="0.3">
      <c r="B105" t="s">
        <v>220</v>
      </c>
      <c r="F105" s="14"/>
      <c r="G105" s="24">
        <v>0</v>
      </c>
      <c r="H105" s="22"/>
      <c r="I105" s="22"/>
      <c r="J105" s="22"/>
      <c r="K105" s="22"/>
      <c r="L105" s="42">
        <f t="shared" si="49"/>
        <v>0</v>
      </c>
      <c r="M105" s="22">
        <f t="shared" si="50"/>
        <v>0</v>
      </c>
      <c r="N105" s="22">
        <f t="shared" si="51"/>
        <v>0</v>
      </c>
      <c r="O105" s="22">
        <f t="shared" si="52"/>
        <v>0</v>
      </c>
      <c r="P105" s="23">
        <f t="shared" si="53"/>
        <v>0</v>
      </c>
      <c r="Q105" s="81"/>
      <c r="R105" s="41">
        <f t="shared" si="54"/>
        <v>0</v>
      </c>
      <c r="S105" s="278" t="str">
        <f t="shared" si="55"/>
        <v/>
      </c>
      <c r="T105" s="74">
        <f t="shared" si="56"/>
        <v>0</v>
      </c>
      <c r="U105" s="275" t="str">
        <f t="shared" si="57"/>
        <v/>
      </c>
    </row>
    <row r="106" spans="1:21" outlineLevel="1" x14ac:dyDescent="0.3">
      <c r="B106" t="s">
        <v>70</v>
      </c>
      <c r="F106" s="14"/>
      <c r="G106" s="24">
        <v>0</v>
      </c>
      <c r="H106" s="22"/>
      <c r="I106" s="22"/>
      <c r="J106" s="22"/>
      <c r="K106" s="22"/>
      <c r="L106" s="42">
        <f t="shared" si="49"/>
        <v>0</v>
      </c>
      <c r="M106" s="22">
        <f t="shared" si="50"/>
        <v>0</v>
      </c>
      <c r="N106" s="22">
        <f t="shared" si="51"/>
        <v>0</v>
      </c>
      <c r="O106" s="22">
        <f t="shared" si="52"/>
        <v>0</v>
      </c>
      <c r="P106" s="23">
        <f t="shared" si="53"/>
        <v>0</v>
      </c>
      <c r="Q106" s="81"/>
      <c r="R106" s="41">
        <f t="shared" si="54"/>
        <v>0</v>
      </c>
      <c r="S106" s="278" t="str">
        <f t="shared" si="55"/>
        <v/>
      </c>
      <c r="T106" s="74">
        <f t="shared" si="56"/>
        <v>0</v>
      </c>
      <c r="U106" s="275" t="str">
        <f t="shared" si="57"/>
        <v/>
      </c>
    </row>
    <row r="107" spans="1:21" outlineLevel="1" x14ac:dyDescent="0.3">
      <c r="B107" t="s">
        <v>69</v>
      </c>
      <c r="F107" s="14"/>
      <c r="G107" s="24">
        <v>0</v>
      </c>
      <c r="H107" s="22"/>
      <c r="I107" s="22"/>
      <c r="J107" s="22"/>
      <c r="K107" s="22"/>
      <c r="L107" s="42">
        <f t="shared" si="49"/>
        <v>0</v>
      </c>
      <c r="M107" s="22">
        <f t="shared" si="50"/>
        <v>0</v>
      </c>
      <c r="N107" s="22">
        <f t="shared" si="51"/>
        <v>0</v>
      </c>
      <c r="O107" s="22">
        <f t="shared" si="52"/>
        <v>0</v>
      </c>
      <c r="P107" s="23">
        <f t="shared" si="53"/>
        <v>0</v>
      </c>
      <c r="Q107" s="81"/>
      <c r="R107" s="41">
        <f t="shared" si="54"/>
        <v>0</v>
      </c>
      <c r="S107" s="278" t="str">
        <f t="shared" si="55"/>
        <v/>
      </c>
      <c r="T107" s="74">
        <f t="shared" si="56"/>
        <v>0</v>
      </c>
      <c r="U107" s="275" t="str">
        <f t="shared" si="57"/>
        <v/>
      </c>
    </row>
    <row r="108" spans="1:21" outlineLevel="1" x14ac:dyDescent="0.3">
      <c r="F108" s="14"/>
      <c r="G108" s="24"/>
      <c r="H108" s="22"/>
      <c r="I108" s="22"/>
      <c r="J108" s="22"/>
      <c r="K108" s="22"/>
      <c r="L108" s="42"/>
      <c r="M108" s="22"/>
      <c r="N108" s="22"/>
      <c r="O108" s="22"/>
      <c r="P108" s="23"/>
      <c r="Q108" s="81"/>
      <c r="R108" s="41"/>
      <c r="S108" s="257"/>
      <c r="T108" s="74"/>
      <c r="U108" s="275"/>
    </row>
    <row r="109" spans="1:21" x14ac:dyDescent="0.3">
      <c r="B109" s="1" t="s">
        <v>221</v>
      </c>
      <c r="F109" s="14"/>
      <c r="G109" s="52">
        <v>-27330</v>
      </c>
      <c r="H109" s="53">
        <f t="shared" ref="H109:Q109" si="58">SUM(H99:H108)</f>
        <v>-6000</v>
      </c>
      <c r="I109" s="53">
        <f t="shared" si="58"/>
        <v>-27712</v>
      </c>
      <c r="J109" s="53">
        <f t="shared" si="58"/>
        <v>-27712</v>
      </c>
      <c r="K109" s="53">
        <f t="shared" si="58"/>
        <v>-27712</v>
      </c>
      <c r="L109" s="54">
        <f t="shared" si="58"/>
        <v>-6000</v>
      </c>
      <c r="M109" s="53">
        <f t="shared" si="58"/>
        <v>-21712</v>
      </c>
      <c r="N109" s="53">
        <f t="shared" si="58"/>
        <v>0</v>
      </c>
      <c r="O109" s="53">
        <f t="shared" si="58"/>
        <v>0</v>
      </c>
      <c r="P109" s="344">
        <f t="shared" si="58"/>
        <v>-27712</v>
      </c>
      <c r="Q109" s="83">
        <f t="shared" si="58"/>
        <v>-27200</v>
      </c>
      <c r="R109" s="55">
        <f>SUM(R99:R108)</f>
        <v>-512</v>
      </c>
      <c r="S109" s="286">
        <f>IF(Q109=0,"",P109/Q109)</f>
        <v>1.0188235294117647</v>
      </c>
      <c r="T109" s="76">
        <f>SUM(T99:T108)</f>
        <v>-382</v>
      </c>
      <c r="U109" s="288">
        <f>IF(G109=0,"",P109/G109)</f>
        <v>1.0139773143066229</v>
      </c>
    </row>
    <row r="110" spans="1:21" x14ac:dyDescent="0.3">
      <c r="F110" s="14"/>
      <c r="G110" s="24"/>
      <c r="H110" s="22"/>
      <c r="I110" s="22"/>
      <c r="J110" s="22"/>
      <c r="K110" s="22"/>
      <c r="L110" s="42"/>
      <c r="M110" s="22"/>
      <c r="N110" s="22"/>
      <c r="O110" s="22"/>
      <c r="P110" s="23"/>
      <c r="Q110" s="81"/>
      <c r="R110" s="41"/>
      <c r="S110" s="257"/>
      <c r="T110" s="74"/>
      <c r="U110" s="275"/>
    </row>
    <row r="111" spans="1:21" x14ac:dyDescent="0.3">
      <c r="F111" s="14"/>
      <c r="G111" s="24"/>
      <c r="H111" s="22"/>
      <c r="I111" s="22"/>
      <c r="J111" s="22"/>
      <c r="K111" s="22"/>
      <c r="L111" s="42"/>
      <c r="M111" s="22"/>
      <c r="N111" s="22"/>
      <c r="O111" s="22"/>
      <c r="P111" s="23"/>
      <c r="Q111" s="81"/>
      <c r="R111" s="41"/>
      <c r="S111" s="257"/>
      <c r="T111" s="74"/>
      <c r="U111" s="275"/>
    </row>
    <row r="112" spans="1:21" x14ac:dyDescent="0.3">
      <c r="F112" s="14"/>
      <c r="G112" s="24"/>
      <c r="H112" s="22"/>
      <c r="I112" s="22"/>
      <c r="J112" s="22"/>
      <c r="K112" s="22"/>
      <c r="L112" s="42"/>
      <c r="M112" s="22"/>
      <c r="N112" s="22"/>
      <c r="O112" s="22"/>
      <c r="P112" s="23"/>
      <c r="Q112" s="81"/>
      <c r="R112" s="41"/>
      <c r="S112" s="257"/>
      <c r="T112" s="74"/>
      <c r="U112" s="275"/>
    </row>
    <row r="113" spans="1:21" x14ac:dyDescent="0.3">
      <c r="A113" s="1" t="s">
        <v>222</v>
      </c>
      <c r="F113" s="14"/>
      <c r="G113" s="24"/>
      <c r="H113" s="22"/>
      <c r="I113" s="22"/>
      <c r="J113" s="22"/>
      <c r="K113" s="22"/>
      <c r="L113" s="42"/>
      <c r="M113" s="22"/>
      <c r="N113" s="22"/>
      <c r="O113" s="22"/>
      <c r="P113" s="23"/>
      <c r="Q113" s="81"/>
      <c r="R113" s="41"/>
      <c r="S113" s="257"/>
      <c r="T113" s="74"/>
      <c r="U113" s="275"/>
    </row>
    <row r="114" spans="1:21" x14ac:dyDescent="0.3">
      <c r="A114" s="1"/>
      <c r="B114" s="1" t="s">
        <v>15</v>
      </c>
      <c r="F114" s="14"/>
      <c r="G114" s="24"/>
      <c r="H114" s="22"/>
      <c r="I114" s="22"/>
      <c r="J114" s="22"/>
      <c r="K114" s="22"/>
      <c r="L114" s="42"/>
      <c r="M114" s="22"/>
      <c r="N114" s="22"/>
      <c r="O114" s="22"/>
      <c r="P114" s="23"/>
      <c r="Q114" s="81"/>
      <c r="R114" s="41"/>
      <c r="S114" s="257"/>
      <c r="T114" s="74"/>
      <c r="U114" s="275"/>
    </row>
    <row r="115" spans="1:21" hidden="1" outlineLevel="1" x14ac:dyDescent="0.3">
      <c r="A115" s="1"/>
      <c r="C115" t="s">
        <v>279</v>
      </c>
      <c r="F115" s="14"/>
      <c r="G115" s="24">
        <v>0</v>
      </c>
      <c r="H115" s="22"/>
      <c r="I115" s="22"/>
      <c r="J115" s="22"/>
      <c r="K115" s="22"/>
      <c r="L115" s="42">
        <f t="shared" ref="L115:L130" si="59">+H115</f>
        <v>0</v>
      </c>
      <c r="M115" s="22">
        <f t="shared" ref="M115:M130" si="60">IF(I115=0,0,I115-H115)</f>
        <v>0</v>
      </c>
      <c r="N115" s="22">
        <f t="shared" ref="N115:N130" si="61">IF(J115=0,0,J115-I115)</f>
        <v>0</v>
      </c>
      <c r="O115" s="22">
        <f t="shared" ref="O115:O130" si="62">IF(K115=0,0,K115-J115)</f>
        <v>0</v>
      </c>
      <c r="P115" s="23">
        <f t="shared" ref="P115:P130" si="63">SUM(L115:O115)</f>
        <v>0</v>
      </c>
      <c r="Q115" s="81"/>
      <c r="R115" s="41">
        <f t="shared" ref="R115:R130" si="64">P115-Q115</f>
        <v>0</v>
      </c>
      <c r="S115" s="278" t="str">
        <f t="shared" ref="S115:S130" si="65">IF(Q115=0,"",P115/Q115)</f>
        <v/>
      </c>
      <c r="T115" s="74">
        <f t="shared" ref="T115:T130" si="66">P115-G115</f>
        <v>0</v>
      </c>
      <c r="U115" s="275" t="str">
        <f t="shared" ref="U115:U130" si="67">IF(G115=0,"",P115/G115)</f>
        <v/>
      </c>
    </row>
    <row r="116" spans="1:21" hidden="1" outlineLevel="1" x14ac:dyDescent="0.3">
      <c r="A116" s="1"/>
      <c r="C116" t="s">
        <v>280</v>
      </c>
      <c r="F116" s="14"/>
      <c r="G116" s="24">
        <v>0</v>
      </c>
      <c r="H116" s="22"/>
      <c r="I116" s="22"/>
      <c r="J116" s="22"/>
      <c r="K116" s="22"/>
      <c r="L116" s="42">
        <f t="shared" si="59"/>
        <v>0</v>
      </c>
      <c r="M116" s="22">
        <f t="shared" si="60"/>
        <v>0</v>
      </c>
      <c r="N116" s="22">
        <f t="shared" si="61"/>
        <v>0</v>
      </c>
      <c r="O116" s="22">
        <f t="shared" si="62"/>
        <v>0</v>
      </c>
      <c r="P116" s="23">
        <f t="shared" si="63"/>
        <v>0</v>
      </c>
      <c r="Q116" s="81"/>
      <c r="R116" s="41">
        <f t="shared" si="64"/>
        <v>0</v>
      </c>
      <c r="S116" s="278" t="str">
        <f t="shared" si="65"/>
        <v/>
      </c>
      <c r="T116" s="74">
        <f t="shared" si="66"/>
        <v>0</v>
      </c>
      <c r="U116" s="275" t="str">
        <f t="shared" si="67"/>
        <v/>
      </c>
    </row>
    <row r="117" spans="1:21" hidden="1" outlineLevel="1" x14ac:dyDescent="0.3">
      <c r="A117" s="1"/>
      <c r="C117" t="s">
        <v>281</v>
      </c>
      <c r="F117" s="14"/>
      <c r="G117" s="24">
        <v>0</v>
      </c>
      <c r="H117" s="22"/>
      <c r="I117" s="22"/>
      <c r="J117" s="22"/>
      <c r="K117" s="22"/>
      <c r="L117" s="42">
        <f t="shared" si="59"/>
        <v>0</v>
      </c>
      <c r="M117" s="22">
        <f t="shared" si="60"/>
        <v>0</v>
      </c>
      <c r="N117" s="22">
        <f t="shared" si="61"/>
        <v>0</v>
      </c>
      <c r="O117" s="22">
        <f t="shared" si="62"/>
        <v>0</v>
      </c>
      <c r="P117" s="23">
        <f t="shared" si="63"/>
        <v>0</v>
      </c>
      <c r="Q117" s="81"/>
      <c r="R117" s="41">
        <f t="shared" si="64"/>
        <v>0</v>
      </c>
      <c r="S117" s="278" t="str">
        <f t="shared" si="65"/>
        <v/>
      </c>
      <c r="T117" s="74">
        <f t="shared" si="66"/>
        <v>0</v>
      </c>
      <c r="U117" s="275" t="str">
        <f t="shared" si="67"/>
        <v/>
      </c>
    </row>
    <row r="118" spans="1:21" hidden="1" outlineLevel="1" x14ac:dyDescent="0.3">
      <c r="A118" s="1"/>
      <c r="C118" t="s">
        <v>282</v>
      </c>
      <c r="F118" s="14"/>
      <c r="G118" s="24">
        <v>0</v>
      </c>
      <c r="H118" s="22"/>
      <c r="I118" s="22"/>
      <c r="J118" s="22"/>
      <c r="K118" s="22"/>
      <c r="L118" s="42">
        <f t="shared" si="59"/>
        <v>0</v>
      </c>
      <c r="M118" s="22">
        <f t="shared" si="60"/>
        <v>0</v>
      </c>
      <c r="N118" s="22">
        <f t="shared" si="61"/>
        <v>0</v>
      </c>
      <c r="O118" s="22">
        <f t="shared" si="62"/>
        <v>0</v>
      </c>
      <c r="P118" s="23">
        <f t="shared" si="63"/>
        <v>0</v>
      </c>
      <c r="Q118" s="81"/>
      <c r="R118" s="41">
        <f t="shared" si="64"/>
        <v>0</v>
      </c>
      <c r="S118" s="278" t="str">
        <f t="shared" si="65"/>
        <v/>
      </c>
      <c r="T118" s="74">
        <f t="shared" si="66"/>
        <v>0</v>
      </c>
      <c r="U118" s="275" t="str">
        <f t="shared" si="67"/>
        <v/>
      </c>
    </row>
    <row r="119" spans="1:21" hidden="1" outlineLevel="1" x14ac:dyDescent="0.3">
      <c r="A119" s="1"/>
      <c r="C119" t="s">
        <v>283</v>
      </c>
      <c r="F119" s="14"/>
      <c r="G119" s="24">
        <v>0</v>
      </c>
      <c r="H119" s="22"/>
      <c r="I119" s="22"/>
      <c r="J119" s="22"/>
      <c r="K119" s="22"/>
      <c r="L119" s="42">
        <f t="shared" si="59"/>
        <v>0</v>
      </c>
      <c r="M119" s="22">
        <f t="shared" si="60"/>
        <v>0</v>
      </c>
      <c r="N119" s="22">
        <f t="shared" si="61"/>
        <v>0</v>
      </c>
      <c r="O119" s="22">
        <f t="shared" si="62"/>
        <v>0</v>
      </c>
      <c r="P119" s="23">
        <f t="shared" si="63"/>
        <v>0</v>
      </c>
      <c r="Q119" s="81"/>
      <c r="R119" s="41">
        <f t="shared" si="64"/>
        <v>0</v>
      </c>
      <c r="S119" s="278" t="str">
        <f t="shared" si="65"/>
        <v/>
      </c>
      <c r="T119" s="74">
        <f t="shared" si="66"/>
        <v>0</v>
      </c>
      <c r="U119" s="275" t="str">
        <f t="shared" si="67"/>
        <v/>
      </c>
    </row>
    <row r="120" spans="1:21" hidden="1" outlineLevel="1" x14ac:dyDescent="0.3">
      <c r="A120" s="1"/>
      <c r="C120" t="s">
        <v>284</v>
      </c>
      <c r="F120" s="14"/>
      <c r="G120" s="24">
        <v>0</v>
      </c>
      <c r="H120" s="22"/>
      <c r="I120" s="22"/>
      <c r="J120" s="22"/>
      <c r="K120" s="22"/>
      <c r="L120" s="42">
        <f t="shared" si="59"/>
        <v>0</v>
      </c>
      <c r="M120" s="22">
        <f t="shared" si="60"/>
        <v>0</v>
      </c>
      <c r="N120" s="22">
        <f t="shared" si="61"/>
        <v>0</v>
      </c>
      <c r="O120" s="22">
        <f t="shared" si="62"/>
        <v>0</v>
      </c>
      <c r="P120" s="23">
        <f t="shared" si="63"/>
        <v>0</v>
      </c>
      <c r="Q120" s="81"/>
      <c r="R120" s="41">
        <f t="shared" si="64"/>
        <v>0</v>
      </c>
      <c r="S120" s="278" t="str">
        <f t="shared" si="65"/>
        <v/>
      </c>
      <c r="T120" s="74">
        <f t="shared" si="66"/>
        <v>0</v>
      </c>
      <c r="U120" s="275" t="str">
        <f t="shared" si="67"/>
        <v/>
      </c>
    </row>
    <row r="121" spans="1:21" hidden="1" outlineLevel="1" x14ac:dyDescent="0.3">
      <c r="A121" s="1"/>
      <c r="C121" t="s">
        <v>285</v>
      </c>
      <c r="F121" s="14"/>
      <c r="G121" s="24">
        <v>0</v>
      </c>
      <c r="H121" s="22"/>
      <c r="I121" s="22"/>
      <c r="J121" s="22"/>
      <c r="K121" s="22"/>
      <c r="L121" s="42">
        <f t="shared" si="59"/>
        <v>0</v>
      </c>
      <c r="M121" s="22">
        <f t="shared" si="60"/>
        <v>0</v>
      </c>
      <c r="N121" s="22">
        <f t="shared" si="61"/>
        <v>0</v>
      </c>
      <c r="O121" s="22">
        <f t="shared" si="62"/>
        <v>0</v>
      </c>
      <c r="P121" s="23">
        <f t="shared" si="63"/>
        <v>0</v>
      </c>
      <c r="Q121" s="81"/>
      <c r="R121" s="41">
        <f t="shared" si="64"/>
        <v>0</v>
      </c>
      <c r="S121" s="278" t="str">
        <f t="shared" si="65"/>
        <v/>
      </c>
      <c r="T121" s="74">
        <f t="shared" si="66"/>
        <v>0</v>
      </c>
      <c r="U121" s="275" t="str">
        <f t="shared" si="67"/>
        <v/>
      </c>
    </row>
    <row r="122" spans="1:21" hidden="1" outlineLevel="1" x14ac:dyDescent="0.3">
      <c r="A122" s="1"/>
      <c r="C122" t="s">
        <v>286</v>
      </c>
      <c r="F122" s="14"/>
      <c r="G122" s="24">
        <v>0</v>
      </c>
      <c r="H122" s="22"/>
      <c r="I122" s="22"/>
      <c r="J122" s="22"/>
      <c r="K122" s="22"/>
      <c r="L122" s="42">
        <f t="shared" si="59"/>
        <v>0</v>
      </c>
      <c r="M122" s="22">
        <f t="shared" si="60"/>
        <v>0</v>
      </c>
      <c r="N122" s="22">
        <f t="shared" si="61"/>
        <v>0</v>
      </c>
      <c r="O122" s="22">
        <f t="shared" si="62"/>
        <v>0</v>
      </c>
      <c r="P122" s="23">
        <f t="shared" si="63"/>
        <v>0</v>
      </c>
      <c r="Q122" s="81"/>
      <c r="R122" s="41">
        <f t="shared" si="64"/>
        <v>0</v>
      </c>
      <c r="S122" s="278" t="str">
        <f t="shared" si="65"/>
        <v/>
      </c>
      <c r="T122" s="74">
        <f t="shared" si="66"/>
        <v>0</v>
      </c>
      <c r="U122" s="275" t="str">
        <f t="shared" si="67"/>
        <v/>
      </c>
    </row>
    <row r="123" spans="1:21" hidden="1" outlineLevel="1" x14ac:dyDescent="0.3">
      <c r="A123" s="1"/>
      <c r="C123" t="s">
        <v>287</v>
      </c>
      <c r="F123" s="14"/>
      <c r="G123" s="24">
        <v>0</v>
      </c>
      <c r="H123" s="22"/>
      <c r="I123" s="22"/>
      <c r="J123" s="22"/>
      <c r="K123" s="22"/>
      <c r="L123" s="42">
        <f t="shared" si="59"/>
        <v>0</v>
      </c>
      <c r="M123" s="22">
        <f t="shared" si="60"/>
        <v>0</v>
      </c>
      <c r="N123" s="22">
        <f t="shared" si="61"/>
        <v>0</v>
      </c>
      <c r="O123" s="22">
        <f t="shared" si="62"/>
        <v>0</v>
      </c>
      <c r="P123" s="23">
        <f t="shared" si="63"/>
        <v>0</v>
      </c>
      <c r="Q123" s="81"/>
      <c r="R123" s="41">
        <f t="shared" si="64"/>
        <v>0</v>
      </c>
      <c r="S123" s="278" t="str">
        <f t="shared" si="65"/>
        <v/>
      </c>
      <c r="T123" s="74">
        <f t="shared" si="66"/>
        <v>0</v>
      </c>
      <c r="U123" s="275" t="str">
        <f t="shared" si="67"/>
        <v/>
      </c>
    </row>
    <row r="124" spans="1:21" hidden="1" outlineLevel="1" x14ac:dyDescent="0.3">
      <c r="A124" s="1"/>
      <c r="C124" t="s">
        <v>112</v>
      </c>
      <c r="F124" s="14"/>
      <c r="G124" s="24">
        <v>0</v>
      </c>
      <c r="H124" s="22"/>
      <c r="I124" s="22"/>
      <c r="J124" s="22"/>
      <c r="K124" s="22"/>
      <c r="L124" s="42">
        <f t="shared" ref="L124:L129" si="68">+H124</f>
        <v>0</v>
      </c>
      <c r="M124" s="22">
        <f t="shared" ref="M124:M129" si="69">IF(I124=0,0,I124-H124)</f>
        <v>0</v>
      </c>
      <c r="N124" s="22">
        <f t="shared" ref="N124:N129" si="70">IF(J124=0,0,J124-I124)</f>
        <v>0</v>
      </c>
      <c r="O124" s="22">
        <f t="shared" ref="O124:O129" si="71">IF(K124=0,0,K124-J124)</f>
        <v>0</v>
      </c>
      <c r="P124" s="23">
        <f t="shared" ref="P124:P129" si="72">SUM(L124:O124)</f>
        <v>0</v>
      </c>
      <c r="Q124" s="81"/>
      <c r="R124" s="41">
        <f t="shared" si="64"/>
        <v>0</v>
      </c>
      <c r="S124" s="278" t="str">
        <f t="shared" si="65"/>
        <v/>
      </c>
      <c r="T124" s="74">
        <f t="shared" si="66"/>
        <v>0</v>
      </c>
      <c r="U124" s="275" t="str">
        <f t="shared" si="67"/>
        <v/>
      </c>
    </row>
    <row r="125" spans="1:21" hidden="1" outlineLevel="1" x14ac:dyDescent="0.3">
      <c r="A125" s="1"/>
      <c r="C125" t="s">
        <v>113</v>
      </c>
      <c r="F125" s="14"/>
      <c r="G125" s="24">
        <v>0</v>
      </c>
      <c r="H125" s="22"/>
      <c r="I125" s="22"/>
      <c r="J125" s="22"/>
      <c r="K125" s="22"/>
      <c r="L125" s="42">
        <f t="shared" si="68"/>
        <v>0</v>
      </c>
      <c r="M125" s="22">
        <f t="shared" si="69"/>
        <v>0</v>
      </c>
      <c r="N125" s="22">
        <f t="shared" si="70"/>
        <v>0</v>
      </c>
      <c r="O125" s="22">
        <f t="shared" si="71"/>
        <v>0</v>
      </c>
      <c r="P125" s="23">
        <f t="shared" si="72"/>
        <v>0</v>
      </c>
      <c r="Q125" s="81"/>
      <c r="R125" s="41">
        <f t="shared" si="64"/>
        <v>0</v>
      </c>
      <c r="S125" s="278" t="str">
        <f t="shared" si="65"/>
        <v/>
      </c>
      <c r="T125" s="74">
        <f t="shared" si="66"/>
        <v>0</v>
      </c>
      <c r="U125" s="275" t="str">
        <f t="shared" si="67"/>
        <v/>
      </c>
    </row>
    <row r="126" spans="1:21" hidden="1" outlineLevel="1" x14ac:dyDescent="0.3">
      <c r="A126" s="1"/>
      <c r="C126" t="s">
        <v>114</v>
      </c>
      <c r="F126" s="14"/>
      <c r="G126" s="24">
        <v>0</v>
      </c>
      <c r="H126" s="22"/>
      <c r="I126" s="22"/>
      <c r="J126" s="22"/>
      <c r="K126" s="22"/>
      <c r="L126" s="42">
        <f t="shared" si="68"/>
        <v>0</v>
      </c>
      <c r="M126" s="22">
        <f t="shared" si="69"/>
        <v>0</v>
      </c>
      <c r="N126" s="22">
        <f t="shared" si="70"/>
        <v>0</v>
      </c>
      <c r="O126" s="22">
        <f t="shared" si="71"/>
        <v>0</v>
      </c>
      <c r="P126" s="23">
        <f t="shared" si="72"/>
        <v>0</v>
      </c>
      <c r="Q126" s="81"/>
      <c r="R126" s="41">
        <f t="shared" si="64"/>
        <v>0</v>
      </c>
      <c r="S126" s="278" t="str">
        <f t="shared" si="65"/>
        <v/>
      </c>
      <c r="T126" s="74">
        <f t="shared" si="66"/>
        <v>0</v>
      </c>
      <c r="U126" s="275" t="str">
        <f t="shared" si="67"/>
        <v/>
      </c>
    </row>
    <row r="127" spans="1:21" hidden="1" outlineLevel="1" x14ac:dyDescent="0.3">
      <c r="A127" s="1"/>
      <c r="C127" t="s">
        <v>115</v>
      </c>
      <c r="F127" s="14"/>
      <c r="G127" s="24">
        <v>0</v>
      </c>
      <c r="H127" s="22"/>
      <c r="I127" s="22"/>
      <c r="J127" s="22"/>
      <c r="K127" s="22"/>
      <c r="L127" s="42">
        <f t="shared" si="68"/>
        <v>0</v>
      </c>
      <c r="M127" s="22">
        <f t="shared" si="69"/>
        <v>0</v>
      </c>
      <c r="N127" s="22">
        <f t="shared" si="70"/>
        <v>0</v>
      </c>
      <c r="O127" s="22">
        <f t="shared" si="71"/>
        <v>0</v>
      </c>
      <c r="P127" s="23">
        <f t="shared" si="72"/>
        <v>0</v>
      </c>
      <c r="Q127" s="81"/>
      <c r="R127" s="41">
        <f t="shared" si="64"/>
        <v>0</v>
      </c>
      <c r="S127" s="278" t="str">
        <f t="shared" si="65"/>
        <v/>
      </c>
      <c r="T127" s="74">
        <f t="shared" si="66"/>
        <v>0</v>
      </c>
      <c r="U127" s="275" t="str">
        <f t="shared" si="67"/>
        <v/>
      </c>
    </row>
    <row r="128" spans="1:21" hidden="1" outlineLevel="1" x14ac:dyDescent="0.3">
      <c r="A128" s="1"/>
      <c r="C128" t="s">
        <v>116</v>
      </c>
      <c r="F128" s="14"/>
      <c r="G128" s="24">
        <v>0</v>
      </c>
      <c r="H128" s="22"/>
      <c r="I128" s="22"/>
      <c r="J128" s="22"/>
      <c r="K128" s="22"/>
      <c r="L128" s="42">
        <f t="shared" si="68"/>
        <v>0</v>
      </c>
      <c r="M128" s="22">
        <f t="shared" si="69"/>
        <v>0</v>
      </c>
      <c r="N128" s="22">
        <f t="shared" si="70"/>
        <v>0</v>
      </c>
      <c r="O128" s="22">
        <f t="shared" si="71"/>
        <v>0</v>
      </c>
      <c r="P128" s="23">
        <f t="shared" si="72"/>
        <v>0</v>
      </c>
      <c r="Q128" s="81"/>
      <c r="R128" s="41">
        <f t="shared" si="64"/>
        <v>0</v>
      </c>
      <c r="S128" s="278" t="str">
        <f t="shared" si="65"/>
        <v/>
      </c>
      <c r="T128" s="74">
        <f t="shared" si="66"/>
        <v>0</v>
      </c>
      <c r="U128" s="275" t="str">
        <f t="shared" si="67"/>
        <v/>
      </c>
    </row>
    <row r="129" spans="1:21" hidden="1" outlineLevel="1" x14ac:dyDescent="0.3">
      <c r="A129" s="1"/>
      <c r="C129" t="s">
        <v>117</v>
      </c>
      <c r="F129" s="14"/>
      <c r="G129" s="24">
        <v>0</v>
      </c>
      <c r="H129" s="22"/>
      <c r="I129" s="22"/>
      <c r="J129" s="22"/>
      <c r="K129" s="22"/>
      <c r="L129" s="42">
        <f t="shared" si="68"/>
        <v>0</v>
      </c>
      <c r="M129" s="22">
        <f t="shared" si="69"/>
        <v>0</v>
      </c>
      <c r="N129" s="22">
        <f t="shared" si="70"/>
        <v>0</v>
      </c>
      <c r="O129" s="22">
        <f t="shared" si="71"/>
        <v>0</v>
      </c>
      <c r="P129" s="23">
        <f t="shared" si="72"/>
        <v>0</v>
      </c>
      <c r="Q129" s="81"/>
      <c r="R129" s="41">
        <f t="shared" si="64"/>
        <v>0</v>
      </c>
      <c r="S129" s="278" t="str">
        <f t="shared" si="65"/>
        <v/>
      </c>
      <c r="T129" s="74">
        <f t="shared" si="66"/>
        <v>0</v>
      </c>
      <c r="U129" s="275" t="str">
        <f t="shared" si="67"/>
        <v/>
      </c>
    </row>
    <row r="130" spans="1:21" hidden="1" outlineLevel="1" x14ac:dyDescent="0.3">
      <c r="A130" s="1"/>
      <c r="F130" s="14"/>
      <c r="G130" s="24">
        <v>0</v>
      </c>
      <c r="H130" s="22"/>
      <c r="I130" s="22"/>
      <c r="J130" s="22"/>
      <c r="K130" s="22"/>
      <c r="L130" s="42">
        <f t="shared" si="59"/>
        <v>0</v>
      </c>
      <c r="M130" s="22">
        <f t="shared" si="60"/>
        <v>0</v>
      </c>
      <c r="N130" s="22">
        <f t="shared" si="61"/>
        <v>0</v>
      </c>
      <c r="O130" s="22">
        <f t="shared" si="62"/>
        <v>0</v>
      </c>
      <c r="P130" s="23">
        <f t="shared" si="63"/>
        <v>0</v>
      </c>
      <c r="Q130" s="81"/>
      <c r="R130" s="41">
        <f t="shared" si="64"/>
        <v>0</v>
      </c>
      <c r="S130" s="278" t="str">
        <f t="shared" si="65"/>
        <v/>
      </c>
      <c r="T130" s="74">
        <f t="shared" si="66"/>
        <v>0</v>
      </c>
      <c r="U130" s="275" t="str">
        <f t="shared" si="67"/>
        <v/>
      </c>
    </row>
    <row r="131" spans="1:21" hidden="1" outlineLevel="1" x14ac:dyDescent="0.3">
      <c r="A131" s="1"/>
      <c r="F131" s="14"/>
      <c r="G131" s="24"/>
      <c r="H131" s="22"/>
      <c r="I131" s="22"/>
      <c r="J131" s="22"/>
      <c r="K131" s="22"/>
      <c r="L131" s="42"/>
      <c r="M131" s="22"/>
      <c r="N131" s="22"/>
      <c r="O131" s="22"/>
      <c r="P131" s="23"/>
      <c r="Q131" s="81"/>
      <c r="R131" s="41"/>
      <c r="S131" s="257"/>
      <c r="T131" s="74"/>
      <c r="U131" s="275"/>
    </row>
    <row r="132" spans="1:21" collapsed="1" x14ac:dyDescent="0.3">
      <c r="A132" s="1"/>
      <c r="C132" s="1" t="s">
        <v>142</v>
      </c>
      <c r="F132" s="14"/>
      <c r="G132" s="44">
        <v>0</v>
      </c>
      <c r="H132" s="45">
        <f t="shared" ref="H132:Q132" si="73">SUM(H115:H131)</f>
        <v>0</v>
      </c>
      <c r="I132" s="45">
        <f t="shared" si="73"/>
        <v>0</v>
      </c>
      <c r="J132" s="45">
        <f t="shared" si="73"/>
        <v>0</v>
      </c>
      <c r="K132" s="45">
        <f t="shared" si="73"/>
        <v>0</v>
      </c>
      <c r="L132" s="46">
        <f t="shared" si="73"/>
        <v>0</v>
      </c>
      <c r="M132" s="45">
        <f t="shared" si="73"/>
        <v>0</v>
      </c>
      <c r="N132" s="45">
        <f t="shared" si="73"/>
        <v>0</v>
      </c>
      <c r="O132" s="45">
        <f t="shared" si="73"/>
        <v>0</v>
      </c>
      <c r="P132" s="68">
        <f t="shared" si="73"/>
        <v>0</v>
      </c>
      <c r="Q132" s="82">
        <f t="shared" si="73"/>
        <v>0</v>
      </c>
      <c r="R132" s="47">
        <f>SUM(R115:R131)</f>
        <v>0</v>
      </c>
      <c r="S132" s="276" t="str">
        <f>IF(Q132=0,"",P132/Q132)</f>
        <v/>
      </c>
      <c r="T132" s="75">
        <f>SUM(T115:T131)</f>
        <v>0</v>
      </c>
      <c r="U132" s="310" t="str">
        <f>IF(G132=0,"",P132/G132)</f>
        <v/>
      </c>
    </row>
    <row r="133" spans="1:21" x14ac:dyDescent="0.3">
      <c r="A133" s="1"/>
      <c r="F133" s="14"/>
      <c r="G133" s="24"/>
      <c r="H133" s="22"/>
      <c r="I133" s="22"/>
      <c r="J133" s="22"/>
      <c r="K133" s="22"/>
      <c r="L133" s="42"/>
      <c r="M133" s="22"/>
      <c r="N133" s="22"/>
      <c r="O133" s="22"/>
      <c r="P133" s="23"/>
      <c r="Q133" s="81"/>
      <c r="R133" s="41"/>
      <c r="S133" s="257"/>
      <c r="T133" s="74"/>
      <c r="U133" s="275"/>
    </row>
    <row r="134" spans="1:21" x14ac:dyDescent="0.3">
      <c r="B134" s="1" t="s">
        <v>370</v>
      </c>
      <c r="F134" s="14"/>
      <c r="G134" s="24"/>
      <c r="H134" s="22"/>
      <c r="I134" s="22"/>
      <c r="J134" s="22"/>
      <c r="K134" s="22"/>
      <c r="L134" s="42"/>
      <c r="M134" s="22"/>
      <c r="N134" s="22"/>
      <c r="O134" s="22"/>
      <c r="P134" s="23"/>
      <c r="Q134" s="81"/>
      <c r="R134" s="41">
        <f>P134-Q134</f>
        <v>0</v>
      </c>
      <c r="S134" s="278" t="str">
        <f>IF(Q134=0,"",P134/Q134)</f>
        <v/>
      </c>
      <c r="T134" s="74">
        <f>P134-G134</f>
        <v>0</v>
      </c>
      <c r="U134" s="275" t="str">
        <f>IF(G134=0,"",P134/G134)</f>
        <v/>
      </c>
    </row>
    <row r="135" spans="1:21" x14ac:dyDescent="0.3">
      <c r="C135" t="s">
        <v>223</v>
      </c>
      <c r="F135" s="14"/>
      <c r="G135" s="24">
        <v>9.999999929277692E-5</v>
      </c>
      <c r="H135" s="22">
        <v>13680</v>
      </c>
      <c r="I135" s="22">
        <v>5446</v>
      </c>
      <c r="J135" s="22">
        <v>0</v>
      </c>
      <c r="K135" s="22">
        <v>0</v>
      </c>
      <c r="L135" s="42">
        <f>+H135</f>
        <v>13680</v>
      </c>
      <c r="M135" s="22">
        <f t="shared" ref="M135:O138" si="74">IF(I135=0,0,I135-H135)</f>
        <v>-8234</v>
      </c>
      <c r="N135" s="22">
        <f t="shared" si="74"/>
        <v>0</v>
      </c>
      <c r="O135" s="22">
        <f t="shared" si="74"/>
        <v>0</v>
      </c>
      <c r="P135" s="23">
        <f>SUM(L135:O135)</f>
        <v>5446</v>
      </c>
      <c r="Q135" s="81">
        <f>13680-13680</f>
        <v>0</v>
      </c>
      <c r="R135" s="41">
        <f>P135-Q135</f>
        <v>5446</v>
      </c>
      <c r="S135" s="278" t="str">
        <f>IF(Q135=0,"",P135/Q135)</f>
        <v/>
      </c>
      <c r="T135" s="74">
        <f>P135-G135</f>
        <v>5445.9999000000007</v>
      </c>
      <c r="U135" s="275">
        <f>IF(G135=0,"",P135/G135)</f>
        <v>54460000.385153688</v>
      </c>
    </row>
    <row r="136" spans="1:21" x14ac:dyDescent="0.3">
      <c r="C136" t="s">
        <v>224</v>
      </c>
      <c r="F136" s="14"/>
      <c r="G136" s="24">
        <v>1100</v>
      </c>
      <c r="H136" s="22">
        <v>1100</v>
      </c>
      <c r="I136" s="22">
        <v>1100</v>
      </c>
      <c r="J136" s="22">
        <v>1100</v>
      </c>
      <c r="K136" s="22">
        <v>1100</v>
      </c>
      <c r="L136" s="42">
        <f>+H136</f>
        <v>1100</v>
      </c>
      <c r="M136" s="22">
        <f t="shared" si="74"/>
        <v>0</v>
      </c>
      <c r="N136" s="22">
        <f t="shared" si="74"/>
        <v>0</v>
      </c>
      <c r="O136" s="22">
        <f t="shared" si="74"/>
        <v>0</v>
      </c>
      <c r="P136" s="23">
        <f>SUM(L136:O136)</f>
        <v>1100</v>
      </c>
      <c r="Q136" s="81">
        <v>1100</v>
      </c>
      <c r="R136" s="41">
        <f>P136-Q136</f>
        <v>0</v>
      </c>
      <c r="S136" s="278">
        <f>IF(Q136=0,"",P136/Q136)</f>
        <v>1</v>
      </c>
      <c r="T136" s="74">
        <f>P136-G136</f>
        <v>0</v>
      </c>
      <c r="U136" s="275">
        <f>IF(G136=0,"",P136/G136)</f>
        <v>1</v>
      </c>
    </row>
    <row r="137" spans="1:21" x14ac:dyDescent="0.3">
      <c r="C137" t="s">
        <v>368</v>
      </c>
      <c r="F137" s="14"/>
      <c r="G137" s="24">
        <v>367.2</v>
      </c>
      <c r="H137" s="22">
        <v>987.2</v>
      </c>
      <c r="I137" s="22">
        <v>987.2</v>
      </c>
      <c r="J137" s="22">
        <v>987.2</v>
      </c>
      <c r="K137" s="22">
        <v>987.2</v>
      </c>
      <c r="L137" s="42">
        <f>+H137</f>
        <v>987.2</v>
      </c>
      <c r="M137" s="22">
        <f t="shared" si="74"/>
        <v>0</v>
      </c>
      <c r="N137" s="22">
        <f t="shared" si="74"/>
        <v>0</v>
      </c>
      <c r="O137" s="22">
        <f t="shared" si="74"/>
        <v>0</v>
      </c>
      <c r="P137" s="23">
        <f>SUM(L137:O137)</f>
        <v>987.2</v>
      </c>
      <c r="Q137" s="81">
        <v>987.2</v>
      </c>
      <c r="R137" s="41">
        <f>P137-Q137</f>
        <v>0</v>
      </c>
      <c r="S137" s="278">
        <f>IF(Q137=0,"",P137/Q137)</f>
        <v>1</v>
      </c>
      <c r="T137" s="74">
        <f>P137-G137</f>
        <v>620</v>
      </c>
      <c r="U137" s="275">
        <f>IF(G137=0,"",P137/G137)</f>
        <v>2.6884531590413947</v>
      </c>
    </row>
    <row r="138" spans="1:21" x14ac:dyDescent="0.3">
      <c r="C138" t="s">
        <v>369</v>
      </c>
      <c r="F138" s="14"/>
      <c r="G138" s="24">
        <v>1603</v>
      </c>
      <c r="H138" s="22">
        <v>1646</v>
      </c>
      <c r="I138" s="22">
        <v>1646</v>
      </c>
      <c r="J138" s="22">
        <v>1646</v>
      </c>
      <c r="K138" s="22">
        <v>1646</v>
      </c>
      <c r="L138" s="42">
        <f>+H138</f>
        <v>1646</v>
      </c>
      <c r="M138" s="22">
        <f t="shared" si="74"/>
        <v>0</v>
      </c>
      <c r="N138" s="22">
        <f t="shared" si="74"/>
        <v>0</v>
      </c>
      <c r="O138" s="22">
        <f t="shared" si="74"/>
        <v>0</v>
      </c>
      <c r="P138" s="23">
        <f>SUM(L138:O138)</f>
        <v>1646</v>
      </c>
      <c r="Q138" s="81">
        <v>1646</v>
      </c>
      <c r="R138" s="41">
        <f>P138-Q138</f>
        <v>0</v>
      </c>
      <c r="S138" s="278">
        <f>IF(Q138=0,"",P138/Q138)</f>
        <v>1</v>
      </c>
      <c r="T138" s="74">
        <f>P138-G138</f>
        <v>43</v>
      </c>
      <c r="U138" s="275">
        <f>IF(G138=0,"",P138/G138)</f>
        <v>1.0268247036805989</v>
      </c>
    </row>
    <row r="139" spans="1:21" x14ac:dyDescent="0.3">
      <c r="F139" s="14"/>
      <c r="G139" s="24"/>
      <c r="H139" s="22"/>
      <c r="I139" s="22"/>
      <c r="J139" s="22"/>
      <c r="K139" s="22"/>
      <c r="L139" s="42"/>
      <c r="M139" s="22"/>
      <c r="N139" s="22"/>
      <c r="O139" s="22"/>
      <c r="P139" s="23"/>
      <c r="Q139" s="81"/>
      <c r="R139" s="41"/>
      <c r="S139" s="257"/>
      <c r="T139" s="74"/>
      <c r="U139" s="275"/>
    </row>
    <row r="140" spans="1:21" x14ac:dyDescent="0.3">
      <c r="C140" s="1" t="s">
        <v>187</v>
      </c>
      <c r="F140" s="14">
        <v>8520</v>
      </c>
      <c r="G140" s="44">
        <v>3070.2000999999991</v>
      </c>
      <c r="H140" s="45">
        <f t="shared" ref="H140:Q140" si="75">SUM(H135:H139)</f>
        <v>17413.2</v>
      </c>
      <c r="I140" s="45">
        <f t="shared" si="75"/>
        <v>9179.2000000000007</v>
      </c>
      <c r="J140" s="45">
        <f t="shared" si="75"/>
        <v>3733.2</v>
      </c>
      <c r="K140" s="45">
        <f t="shared" si="75"/>
        <v>3733.2</v>
      </c>
      <c r="L140" s="46">
        <f t="shared" si="75"/>
        <v>17413.2</v>
      </c>
      <c r="M140" s="45">
        <f t="shared" si="75"/>
        <v>-8234</v>
      </c>
      <c r="N140" s="45">
        <f t="shared" si="75"/>
        <v>0</v>
      </c>
      <c r="O140" s="45">
        <f t="shared" si="75"/>
        <v>0</v>
      </c>
      <c r="P140" s="68">
        <f t="shared" si="75"/>
        <v>9179.2000000000007</v>
      </c>
      <c r="Q140" s="82">
        <f t="shared" si="75"/>
        <v>3733.2</v>
      </c>
      <c r="R140" s="47">
        <f>SUM(R134:R139)</f>
        <v>5446</v>
      </c>
      <c r="S140" s="276">
        <f>IF(Q140=0,"",P140/Q140)</f>
        <v>2.4588021000750029</v>
      </c>
      <c r="T140" s="75">
        <f>SUM(T134:T139)</f>
        <v>6108.9999000000007</v>
      </c>
      <c r="U140" s="310">
        <f>IF(G140=0,"",P140/G140)</f>
        <v>2.9897725558669626</v>
      </c>
    </row>
    <row r="141" spans="1:21" x14ac:dyDescent="0.3">
      <c r="F141" s="14"/>
      <c r="G141" s="24"/>
      <c r="H141" s="22"/>
      <c r="I141" s="22"/>
      <c r="J141" s="22"/>
      <c r="K141" s="22"/>
      <c r="L141" s="42"/>
      <c r="M141" s="22"/>
      <c r="N141" s="22"/>
      <c r="O141" s="22"/>
      <c r="P141" s="23"/>
      <c r="Q141" s="81"/>
      <c r="R141" s="41"/>
      <c r="S141" s="257"/>
      <c r="T141" s="74"/>
      <c r="U141" s="275"/>
    </row>
    <row r="142" spans="1:21" x14ac:dyDescent="0.3">
      <c r="B142" s="1" t="s">
        <v>201</v>
      </c>
      <c r="F142" s="14"/>
      <c r="G142" s="24"/>
      <c r="H142" s="22"/>
      <c r="I142" s="22"/>
      <c r="J142" s="22"/>
      <c r="K142" s="22"/>
      <c r="L142" s="42"/>
      <c r="M142" s="22"/>
      <c r="N142" s="22"/>
      <c r="O142" s="22"/>
      <c r="P142" s="23"/>
      <c r="Q142" s="81"/>
      <c r="R142" s="41"/>
      <c r="S142" s="257"/>
      <c r="T142" s="74"/>
      <c r="U142" s="275"/>
    </row>
    <row r="143" spans="1:21" x14ac:dyDescent="0.3">
      <c r="C143" t="s">
        <v>2</v>
      </c>
      <c r="F143" s="14">
        <v>8130</v>
      </c>
      <c r="G143" s="24">
        <v>13367.19</v>
      </c>
      <c r="H143" s="22">
        <f>45+119.69+24</f>
        <v>188.69</v>
      </c>
      <c r="I143" s="22">
        <f>209.69+7471.9+51.98</f>
        <v>7733.5699999999988</v>
      </c>
      <c r="J143" s="22">
        <f>135+226.97+7630.9</f>
        <v>7992.87</v>
      </c>
      <c r="K143" s="22">
        <f>180+336.04+7654.9</f>
        <v>8170.94</v>
      </c>
      <c r="L143" s="42">
        <f>+H143</f>
        <v>188.69</v>
      </c>
      <c r="M143" s="22">
        <f t="shared" ref="M143:O147" si="76">IF(I143=0,0,I143-H143)</f>
        <v>7544.8799999999992</v>
      </c>
      <c r="N143" s="22">
        <f t="shared" si="76"/>
        <v>259.30000000000109</v>
      </c>
      <c r="O143" s="22">
        <f t="shared" si="76"/>
        <v>178.06999999999971</v>
      </c>
      <c r="P143" s="23">
        <f>SUM(L143:O143)</f>
        <v>8170.94</v>
      </c>
      <c r="Q143" s="81">
        <f>2300*4</f>
        <v>9200</v>
      </c>
      <c r="R143" s="41">
        <f>P143-Q143</f>
        <v>-1029.0600000000004</v>
      </c>
      <c r="S143" s="278">
        <f>IF(Q143=0,"",P143/Q143)</f>
        <v>0.88814565217391295</v>
      </c>
      <c r="T143" s="74">
        <f>P143-G143</f>
        <v>-5196.2500000000009</v>
      </c>
      <c r="U143" s="275">
        <f>IF(G143=0,"",P143/G143)</f>
        <v>0.61126833687558857</v>
      </c>
    </row>
    <row r="144" spans="1:21" x14ac:dyDescent="0.3">
      <c r="C144" t="s">
        <v>48</v>
      </c>
      <c r="F144" s="14">
        <v>8221</v>
      </c>
      <c r="G144" s="24">
        <v>0</v>
      </c>
      <c r="H144" s="22"/>
      <c r="I144" s="22"/>
      <c r="J144" s="22"/>
      <c r="K144" s="22"/>
      <c r="L144" s="42">
        <f>+H144</f>
        <v>0</v>
      </c>
      <c r="M144" s="22">
        <f t="shared" si="76"/>
        <v>0</v>
      </c>
      <c r="N144" s="22">
        <f t="shared" si="76"/>
        <v>0</v>
      </c>
      <c r="O144" s="22">
        <f t="shared" si="76"/>
        <v>0</v>
      </c>
      <c r="P144" s="23">
        <f>SUM(L144:O144)</f>
        <v>0</v>
      </c>
      <c r="Q144" s="81"/>
      <c r="R144" s="41">
        <f>P144-Q144</f>
        <v>0</v>
      </c>
      <c r="S144" s="278" t="str">
        <f>IF(Q144=0,"",P144/Q144)</f>
        <v/>
      </c>
      <c r="T144" s="74">
        <f>P144-G144</f>
        <v>0</v>
      </c>
      <c r="U144" s="275" t="str">
        <f>IF(G144=0,"",P144/G144)</f>
        <v/>
      </c>
    </row>
    <row r="145" spans="2:21" x14ac:dyDescent="0.3">
      <c r="C145" t="s">
        <v>49</v>
      </c>
      <c r="F145" s="14">
        <v>8223</v>
      </c>
      <c r="G145" s="24">
        <v>0</v>
      </c>
      <c r="H145" s="22"/>
      <c r="I145" s="22"/>
      <c r="J145" s="22"/>
      <c r="K145" s="22"/>
      <c r="L145" s="42">
        <f>+H145</f>
        <v>0</v>
      </c>
      <c r="M145" s="22">
        <f t="shared" si="76"/>
        <v>0</v>
      </c>
      <c r="N145" s="22">
        <f t="shared" si="76"/>
        <v>0</v>
      </c>
      <c r="O145" s="22">
        <f t="shared" si="76"/>
        <v>0</v>
      </c>
      <c r="P145" s="23">
        <f>SUM(L145:O145)</f>
        <v>0</v>
      </c>
      <c r="Q145" s="81"/>
      <c r="R145" s="41">
        <f>P145-Q145</f>
        <v>0</v>
      </c>
      <c r="S145" s="278" t="str">
        <f>IF(Q145=0,"",P145/Q145)</f>
        <v/>
      </c>
      <c r="T145" s="74">
        <f>P145-G145</f>
        <v>0</v>
      </c>
      <c r="U145" s="275" t="str">
        <f>IF(G145=0,"",P145/G145)</f>
        <v/>
      </c>
    </row>
    <row r="146" spans="2:21" x14ac:dyDescent="0.3">
      <c r="C146" t="s">
        <v>50</v>
      </c>
      <c r="F146" s="14"/>
      <c r="G146" s="24">
        <v>0</v>
      </c>
      <c r="H146" s="22"/>
      <c r="I146" s="22"/>
      <c r="J146" s="22"/>
      <c r="K146" s="22"/>
      <c r="L146" s="42">
        <f>+H146</f>
        <v>0</v>
      </c>
      <c r="M146" s="22">
        <f t="shared" si="76"/>
        <v>0</v>
      </c>
      <c r="N146" s="22">
        <f t="shared" si="76"/>
        <v>0</v>
      </c>
      <c r="O146" s="22">
        <f t="shared" si="76"/>
        <v>0</v>
      </c>
      <c r="P146" s="23">
        <f>SUM(L146:O146)</f>
        <v>0</v>
      </c>
      <c r="Q146" s="81"/>
      <c r="R146" s="41">
        <f>P146-Q146</f>
        <v>0</v>
      </c>
      <c r="S146" s="278" t="str">
        <f>IF(Q146=0,"",P146/Q146)</f>
        <v/>
      </c>
      <c r="T146" s="74">
        <f>P146-G146</f>
        <v>0</v>
      </c>
      <c r="U146" s="275" t="str">
        <f>IF(G146=0,"",P146/G146)</f>
        <v/>
      </c>
    </row>
    <row r="147" spans="2:21" x14ac:dyDescent="0.3">
      <c r="C147" t="s">
        <v>198</v>
      </c>
      <c r="F147" s="14"/>
      <c r="G147" s="24">
        <v>0</v>
      </c>
      <c r="H147" s="22"/>
      <c r="I147" s="22"/>
      <c r="J147" s="22"/>
      <c r="K147" s="22"/>
      <c r="L147" s="42">
        <f>+H147</f>
        <v>0</v>
      </c>
      <c r="M147" s="22">
        <f t="shared" si="76"/>
        <v>0</v>
      </c>
      <c r="N147" s="22">
        <f t="shared" si="76"/>
        <v>0</v>
      </c>
      <c r="O147" s="22">
        <f t="shared" si="76"/>
        <v>0</v>
      </c>
      <c r="P147" s="23">
        <f>SUM(L147:O147)</f>
        <v>0</v>
      </c>
      <c r="Q147" s="81"/>
      <c r="R147" s="41">
        <f>P147-Q147</f>
        <v>0</v>
      </c>
      <c r="S147" s="278" t="str">
        <f>IF(Q147=0,"",P147/Q147)</f>
        <v/>
      </c>
      <c r="T147" s="74">
        <f>P147-G147</f>
        <v>0</v>
      </c>
      <c r="U147" s="275" t="str">
        <f>IF(G147=0,"",P147/G147)</f>
        <v/>
      </c>
    </row>
    <row r="148" spans="2:21" x14ac:dyDescent="0.3">
      <c r="F148" s="14"/>
      <c r="G148" s="24"/>
      <c r="H148" s="22"/>
      <c r="I148" s="22"/>
      <c r="J148" s="22"/>
      <c r="K148" s="22"/>
      <c r="L148" s="42"/>
      <c r="M148" s="22"/>
      <c r="N148" s="22"/>
      <c r="O148" s="22"/>
      <c r="P148" s="23"/>
      <c r="Q148" s="81"/>
      <c r="R148" s="41"/>
      <c r="S148" s="257"/>
      <c r="T148" s="74"/>
      <c r="U148" s="275"/>
    </row>
    <row r="149" spans="2:21" x14ac:dyDescent="0.3">
      <c r="C149" s="1" t="s">
        <v>57</v>
      </c>
      <c r="F149" s="14"/>
      <c r="G149" s="44">
        <v>13367.19</v>
      </c>
      <c r="H149" s="45">
        <f t="shared" ref="H149:Q149" si="77">SUM(H143:H148)</f>
        <v>188.69</v>
      </c>
      <c r="I149" s="45">
        <f t="shared" si="77"/>
        <v>7733.5699999999988</v>
      </c>
      <c r="J149" s="45">
        <f t="shared" si="77"/>
        <v>7992.87</v>
      </c>
      <c r="K149" s="45">
        <f t="shared" si="77"/>
        <v>8170.94</v>
      </c>
      <c r="L149" s="46">
        <f t="shared" si="77"/>
        <v>188.69</v>
      </c>
      <c r="M149" s="45">
        <f t="shared" si="77"/>
        <v>7544.8799999999992</v>
      </c>
      <c r="N149" s="45">
        <f t="shared" si="77"/>
        <v>259.30000000000109</v>
      </c>
      <c r="O149" s="45">
        <f t="shared" si="77"/>
        <v>178.06999999999971</v>
      </c>
      <c r="P149" s="68">
        <f t="shared" si="77"/>
        <v>8170.94</v>
      </c>
      <c r="Q149" s="82">
        <f t="shared" si="77"/>
        <v>9200</v>
      </c>
      <c r="R149" s="47">
        <f>SUM(R143:R148)</f>
        <v>-1029.0600000000004</v>
      </c>
      <c r="S149" s="276">
        <f>IF(Q149=0,"",P149/Q149)</f>
        <v>0.88814565217391295</v>
      </c>
      <c r="T149" s="75">
        <f>SUM(T143:T148)</f>
        <v>-5196.2500000000009</v>
      </c>
      <c r="U149" s="310">
        <f>IF(G149=0,"",P149/G149)</f>
        <v>0.61126833687558857</v>
      </c>
    </row>
    <row r="150" spans="2:21" x14ac:dyDescent="0.3">
      <c r="F150" s="14"/>
      <c r="G150" s="24"/>
      <c r="H150" s="22"/>
      <c r="I150" s="22"/>
      <c r="J150" s="22"/>
      <c r="K150" s="22"/>
      <c r="L150" s="42"/>
      <c r="M150" s="22"/>
      <c r="N150" s="22"/>
      <c r="O150" s="22"/>
      <c r="P150" s="23"/>
      <c r="Q150" s="81"/>
      <c r="R150" s="41"/>
      <c r="S150" s="257"/>
      <c r="T150" s="74"/>
      <c r="U150" s="275"/>
    </row>
    <row r="151" spans="2:21" x14ac:dyDescent="0.3">
      <c r="B151" s="1" t="s">
        <v>51</v>
      </c>
      <c r="F151" s="14"/>
      <c r="G151" s="24"/>
      <c r="H151" s="22"/>
      <c r="I151" s="22"/>
      <c r="J151" s="22"/>
      <c r="K151" s="22"/>
      <c r="L151" s="42"/>
      <c r="M151" s="22"/>
      <c r="N151" s="22"/>
      <c r="O151" s="22"/>
      <c r="P151" s="23"/>
      <c r="Q151" s="81"/>
      <c r="R151" s="41"/>
      <c r="S151" s="257"/>
      <c r="T151" s="74"/>
      <c r="U151" s="275"/>
    </row>
    <row r="152" spans="2:21" x14ac:dyDescent="0.3">
      <c r="C152" t="s">
        <v>52</v>
      </c>
      <c r="F152" s="14" t="s">
        <v>208</v>
      </c>
      <c r="G152" s="24">
        <v>0</v>
      </c>
      <c r="H152" s="22"/>
      <c r="I152" s="22"/>
      <c r="J152" s="22"/>
      <c r="K152" s="22"/>
      <c r="L152" s="42">
        <f>+H152</f>
        <v>0</v>
      </c>
      <c r="M152" s="22">
        <f t="shared" ref="M152:O156" si="78">IF(I152=0,0,I152-H152)</f>
        <v>0</v>
      </c>
      <c r="N152" s="22">
        <f t="shared" si="78"/>
        <v>0</v>
      </c>
      <c r="O152" s="22">
        <f t="shared" si="78"/>
        <v>0</v>
      </c>
      <c r="P152" s="23">
        <f>SUM(L152:O152)</f>
        <v>0</v>
      </c>
      <c r="Q152" s="81"/>
      <c r="R152" s="41">
        <f>P152-Q152</f>
        <v>0</v>
      </c>
      <c r="S152" s="278" t="str">
        <f>IF(Q152=0,"",P152/Q152)</f>
        <v/>
      </c>
      <c r="T152" s="74">
        <f>P152-G152</f>
        <v>0</v>
      </c>
      <c r="U152" s="275" t="str">
        <f>IF(G152=0,"",P152/G152)</f>
        <v/>
      </c>
    </row>
    <row r="153" spans="2:21" x14ac:dyDescent="0.3">
      <c r="C153" t="s">
        <v>53</v>
      </c>
      <c r="F153" s="14" t="s">
        <v>209</v>
      </c>
      <c r="G153" s="24">
        <v>0</v>
      </c>
      <c r="H153" s="22"/>
      <c r="I153" s="22"/>
      <c r="J153" s="22"/>
      <c r="K153" s="22"/>
      <c r="L153" s="42">
        <f>+H153</f>
        <v>0</v>
      </c>
      <c r="M153" s="22">
        <f t="shared" si="78"/>
        <v>0</v>
      </c>
      <c r="N153" s="22">
        <f t="shared" si="78"/>
        <v>0</v>
      </c>
      <c r="O153" s="22">
        <f t="shared" si="78"/>
        <v>0</v>
      </c>
      <c r="P153" s="23">
        <f>SUM(L153:O153)</f>
        <v>0</v>
      </c>
      <c r="Q153" s="81"/>
      <c r="R153" s="41">
        <f>P153-Q153</f>
        <v>0</v>
      </c>
      <c r="S153" s="278" t="str">
        <f>IF(Q153=0,"",P153/Q153)</f>
        <v/>
      </c>
      <c r="T153" s="74">
        <f>P153-G153</f>
        <v>0</v>
      </c>
      <c r="U153" s="275" t="str">
        <f>IF(G153=0,"",P153/G153)</f>
        <v/>
      </c>
    </row>
    <row r="154" spans="2:21" x14ac:dyDescent="0.3">
      <c r="C154" t="s">
        <v>54</v>
      </c>
      <c r="F154" s="14" t="s">
        <v>210</v>
      </c>
      <c r="G154" s="24">
        <v>0</v>
      </c>
      <c r="H154" s="22"/>
      <c r="I154" s="22"/>
      <c r="J154" s="22"/>
      <c r="K154" s="22"/>
      <c r="L154" s="42">
        <f>+H154</f>
        <v>0</v>
      </c>
      <c r="M154" s="22">
        <f t="shared" si="78"/>
        <v>0</v>
      </c>
      <c r="N154" s="22">
        <f t="shared" si="78"/>
        <v>0</v>
      </c>
      <c r="O154" s="22">
        <f t="shared" si="78"/>
        <v>0</v>
      </c>
      <c r="P154" s="23">
        <f>SUM(L154:O154)</f>
        <v>0</v>
      </c>
      <c r="Q154" s="81"/>
      <c r="R154" s="41">
        <f>P154-Q154</f>
        <v>0</v>
      </c>
      <c r="S154" s="278" t="str">
        <f>IF(Q154=0,"",P154/Q154)</f>
        <v/>
      </c>
      <c r="T154" s="74">
        <f>P154-G154</f>
        <v>0</v>
      </c>
      <c r="U154" s="275" t="str">
        <f>IF(G154=0,"",P154/G154)</f>
        <v/>
      </c>
    </row>
    <row r="155" spans="2:21" x14ac:dyDescent="0.3">
      <c r="C155" t="s">
        <v>55</v>
      </c>
      <c r="F155" s="14" t="s">
        <v>211</v>
      </c>
      <c r="G155" s="24">
        <v>0</v>
      </c>
      <c r="H155" s="22"/>
      <c r="I155" s="22"/>
      <c r="J155" s="22"/>
      <c r="K155" s="22"/>
      <c r="L155" s="42">
        <f>+H155</f>
        <v>0</v>
      </c>
      <c r="M155" s="22">
        <f t="shared" si="78"/>
        <v>0</v>
      </c>
      <c r="N155" s="22">
        <f t="shared" si="78"/>
        <v>0</v>
      </c>
      <c r="O155" s="22">
        <f t="shared" si="78"/>
        <v>0</v>
      </c>
      <c r="P155" s="23">
        <f>SUM(L155:O155)</f>
        <v>0</v>
      </c>
      <c r="Q155" s="81"/>
      <c r="R155" s="41">
        <f>P155-Q155</f>
        <v>0</v>
      </c>
      <c r="S155" s="278" t="str">
        <f>IF(Q155=0,"",P155/Q155)</f>
        <v/>
      </c>
      <c r="T155" s="74">
        <f>P155-G155</f>
        <v>0</v>
      </c>
      <c r="U155" s="275" t="str">
        <f>IF(G155=0,"",P155/G155)</f>
        <v/>
      </c>
    </row>
    <row r="156" spans="2:21" x14ac:dyDescent="0.3">
      <c r="C156" t="s">
        <v>216</v>
      </c>
      <c r="F156" s="14"/>
      <c r="G156" s="24">
        <v>0</v>
      </c>
      <c r="H156" s="22"/>
      <c r="I156" s="22"/>
      <c r="J156" s="22"/>
      <c r="K156" s="22"/>
      <c r="L156" s="42">
        <f>+H156</f>
        <v>0</v>
      </c>
      <c r="M156" s="22">
        <f t="shared" si="78"/>
        <v>0</v>
      </c>
      <c r="N156" s="22">
        <f t="shared" si="78"/>
        <v>0</v>
      </c>
      <c r="O156" s="22">
        <f t="shared" si="78"/>
        <v>0</v>
      </c>
      <c r="P156" s="23">
        <f>SUM(L156:O156)</f>
        <v>0</v>
      </c>
      <c r="Q156" s="81"/>
      <c r="R156" s="41">
        <f>P156-Q156</f>
        <v>0</v>
      </c>
      <c r="S156" s="278" t="str">
        <f>IF(Q156=0,"",P156/Q156)</f>
        <v/>
      </c>
      <c r="T156" s="74">
        <f>P156-G156</f>
        <v>0</v>
      </c>
      <c r="U156" s="275" t="str">
        <f>IF(G156=0,"",P156/G156)</f>
        <v/>
      </c>
    </row>
    <row r="157" spans="2:21" x14ac:dyDescent="0.3">
      <c r="F157" s="14"/>
      <c r="G157" s="24"/>
      <c r="H157" s="22"/>
      <c r="I157" s="22"/>
      <c r="J157" s="22"/>
      <c r="K157" s="22"/>
      <c r="L157" s="42"/>
      <c r="M157" s="22"/>
      <c r="N157" s="22"/>
      <c r="O157" s="22"/>
      <c r="P157" s="23"/>
      <c r="Q157" s="81"/>
      <c r="R157" s="41"/>
      <c r="S157" s="257"/>
      <c r="T157" s="74"/>
      <c r="U157" s="275"/>
    </row>
    <row r="158" spans="2:21" x14ac:dyDescent="0.3">
      <c r="C158" s="1" t="s">
        <v>56</v>
      </c>
      <c r="F158" s="14"/>
      <c r="G158" s="44">
        <v>0</v>
      </c>
      <c r="H158" s="45">
        <f t="shared" ref="H158:Q158" si="79">SUM(H152:H157)</f>
        <v>0</v>
      </c>
      <c r="I158" s="45">
        <f t="shared" si="79"/>
        <v>0</v>
      </c>
      <c r="J158" s="45">
        <f t="shared" si="79"/>
        <v>0</v>
      </c>
      <c r="K158" s="45">
        <f t="shared" si="79"/>
        <v>0</v>
      </c>
      <c r="L158" s="46">
        <f t="shared" si="79"/>
        <v>0</v>
      </c>
      <c r="M158" s="45">
        <f t="shared" si="79"/>
        <v>0</v>
      </c>
      <c r="N158" s="45">
        <f t="shared" si="79"/>
        <v>0</v>
      </c>
      <c r="O158" s="45">
        <f t="shared" si="79"/>
        <v>0</v>
      </c>
      <c r="P158" s="68">
        <f t="shared" si="79"/>
        <v>0</v>
      </c>
      <c r="Q158" s="82">
        <f t="shared" si="79"/>
        <v>0</v>
      </c>
      <c r="R158" s="47">
        <f>SUM(R152:R157)</f>
        <v>0</v>
      </c>
      <c r="S158" s="276" t="str">
        <f>IF(Q158=0,"",P158/Q158)</f>
        <v/>
      </c>
      <c r="T158" s="75">
        <f>SUM(T152:T157)</f>
        <v>0</v>
      </c>
      <c r="U158" s="310" t="str">
        <f>IF(G158=0,"",P158/G158)</f>
        <v/>
      </c>
    </row>
    <row r="159" spans="2:21" x14ac:dyDescent="0.3">
      <c r="F159" s="14"/>
      <c r="G159" s="24"/>
      <c r="H159" s="22"/>
      <c r="I159" s="22"/>
      <c r="J159" s="22"/>
      <c r="K159" s="22"/>
      <c r="L159" s="42"/>
      <c r="M159" s="22"/>
      <c r="N159" s="22"/>
      <c r="O159" s="22"/>
      <c r="P159" s="23"/>
      <c r="Q159" s="81"/>
      <c r="R159" s="41"/>
      <c r="S159" s="257"/>
      <c r="T159" s="74"/>
      <c r="U159" s="275"/>
    </row>
    <row r="160" spans="2:21" x14ac:dyDescent="0.3">
      <c r="B160" s="1" t="s">
        <v>188</v>
      </c>
      <c r="F160" s="14"/>
      <c r="G160" s="24"/>
      <c r="H160" s="22"/>
      <c r="I160" s="22"/>
      <c r="J160" s="22"/>
      <c r="K160" s="22"/>
      <c r="L160" s="42"/>
      <c r="M160" s="22"/>
      <c r="N160" s="22"/>
      <c r="O160" s="22"/>
      <c r="P160" s="23"/>
      <c r="Q160" s="81"/>
      <c r="R160" s="41"/>
      <c r="S160" s="257"/>
      <c r="T160" s="74"/>
      <c r="U160" s="275"/>
    </row>
    <row r="161" spans="1:21" x14ac:dyDescent="0.3">
      <c r="C161" t="s">
        <v>98</v>
      </c>
      <c r="F161" s="14" t="s">
        <v>205</v>
      </c>
      <c r="G161" s="24">
        <v>24</v>
      </c>
      <c r="H161" s="22"/>
      <c r="I161" s="22"/>
      <c r="J161" s="22"/>
      <c r="K161" s="22"/>
      <c r="L161" s="42">
        <f>+H161</f>
        <v>0</v>
      </c>
      <c r="M161" s="22">
        <f t="shared" ref="M161:O165" si="80">IF(I161=0,0,I161-H161)</f>
        <v>0</v>
      </c>
      <c r="N161" s="22">
        <f t="shared" si="80"/>
        <v>0</v>
      </c>
      <c r="O161" s="22">
        <f t="shared" si="80"/>
        <v>0</v>
      </c>
      <c r="P161" s="23">
        <f>SUM(L161:O161)</f>
        <v>0</v>
      </c>
      <c r="Q161" s="81">
        <v>50</v>
      </c>
      <c r="R161" s="41">
        <f>P161-Q161</f>
        <v>-50</v>
      </c>
      <c r="S161" s="278">
        <f>IF(Q161=0,"",P161/Q161)</f>
        <v>0</v>
      </c>
      <c r="T161" s="74">
        <f>P161-G161</f>
        <v>-24</v>
      </c>
      <c r="U161" s="275">
        <f>IF(G161=0,"",P161/G161)</f>
        <v>0</v>
      </c>
    </row>
    <row r="162" spans="1:21" x14ac:dyDescent="0.3">
      <c r="C162" t="s">
        <v>190</v>
      </c>
      <c r="F162" s="14" t="s">
        <v>206</v>
      </c>
      <c r="G162" s="24">
        <v>407.83</v>
      </c>
      <c r="H162" s="22">
        <v>200.39</v>
      </c>
      <c r="I162" s="22">
        <v>200.39</v>
      </c>
      <c r="J162" s="22">
        <v>200.39</v>
      </c>
      <c r="K162" s="22">
        <v>200.39</v>
      </c>
      <c r="L162" s="42">
        <f>+H162</f>
        <v>200.39</v>
      </c>
      <c r="M162" s="22">
        <f t="shared" si="80"/>
        <v>0</v>
      </c>
      <c r="N162" s="22">
        <f>IF(J162=0,0,J162-I162)</f>
        <v>0</v>
      </c>
      <c r="O162" s="22">
        <f>IF(K162=0,0,K162-J162)</f>
        <v>0</v>
      </c>
      <c r="P162" s="23">
        <f>SUM(L162:O162)</f>
        <v>200.39</v>
      </c>
      <c r="Q162" s="81">
        <v>100</v>
      </c>
      <c r="R162" s="41">
        <f>P162-Q162</f>
        <v>100.38999999999999</v>
      </c>
      <c r="S162" s="278">
        <f>IF(Q162=0,"",P162/Q162)</f>
        <v>2.0038999999999998</v>
      </c>
      <c r="T162" s="74">
        <f>P162-G162</f>
        <v>-207.44</v>
      </c>
      <c r="U162" s="275">
        <f>IF(G162=0,"",P162/G162)</f>
        <v>0.4913566927396219</v>
      </c>
    </row>
    <row r="163" spans="1:21" x14ac:dyDescent="0.3">
      <c r="C163" t="s">
        <v>189</v>
      </c>
      <c r="F163" s="14" t="s">
        <v>207</v>
      </c>
      <c r="G163" s="24">
        <v>60.82</v>
      </c>
      <c r="H163" s="22"/>
      <c r="I163" s="22"/>
      <c r="J163" s="22"/>
      <c r="K163" s="22"/>
      <c r="L163" s="42">
        <f>+H163</f>
        <v>0</v>
      </c>
      <c r="M163" s="22">
        <f t="shared" si="80"/>
        <v>0</v>
      </c>
      <c r="N163" s="22">
        <f t="shared" si="80"/>
        <v>0</v>
      </c>
      <c r="O163" s="22">
        <f t="shared" si="80"/>
        <v>0</v>
      </c>
      <c r="P163" s="23">
        <f>SUM(L163:O163)</f>
        <v>0</v>
      </c>
      <c r="Q163" s="81">
        <v>50</v>
      </c>
      <c r="R163" s="41">
        <f>P163-Q163</f>
        <v>-50</v>
      </c>
      <c r="S163" s="278">
        <f>IF(Q163=0,"",P163/Q163)</f>
        <v>0</v>
      </c>
      <c r="T163" s="74">
        <f>P163-G163</f>
        <v>-60.82</v>
      </c>
      <c r="U163" s="275">
        <f>IF(G163=0,"",P163/G163)</f>
        <v>0</v>
      </c>
    </row>
    <row r="164" spans="1:21" x14ac:dyDescent="0.3">
      <c r="C164" t="s">
        <v>191</v>
      </c>
      <c r="F164" s="14"/>
      <c r="G164" s="24">
        <v>266</v>
      </c>
      <c r="H164" s="22"/>
      <c r="I164" s="22"/>
      <c r="J164" s="22"/>
      <c r="K164" s="22"/>
      <c r="L164" s="42">
        <f>+H164</f>
        <v>0</v>
      </c>
      <c r="M164" s="22">
        <f t="shared" si="80"/>
        <v>0</v>
      </c>
      <c r="N164" s="22">
        <f t="shared" si="80"/>
        <v>0</v>
      </c>
      <c r="O164" s="22">
        <f t="shared" si="80"/>
        <v>0</v>
      </c>
      <c r="P164" s="23">
        <f>SUM(L164:O164)</f>
        <v>0</v>
      </c>
      <c r="Q164" s="81">
        <v>250</v>
      </c>
      <c r="R164" s="41">
        <f>P164-Q164</f>
        <v>-250</v>
      </c>
      <c r="S164" s="278">
        <f>IF(Q164=0,"",P164/Q164)</f>
        <v>0</v>
      </c>
      <c r="T164" s="74">
        <f>P164-G164</f>
        <v>-266</v>
      </c>
      <c r="U164" s="275">
        <f>IF(G164=0,"",P164/G164)</f>
        <v>0</v>
      </c>
    </row>
    <row r="165" spans="1:21" x14ac:dyDescent="0.3">
      <c r="C165" t="s">
        <v>216</v>
      </c>
      <c r="F165" s="14"/>
      <c r="G165" s="24">
        <v>0</v>
      </c>
      <c r="H165" s="22"/>
      <c r="I165" s="22"/>
      <c r="J165" s="22"/>
      <c r="K165" s="22"/>
      <c r="L165" s="42">
        <f>+H165</f>
        <v>0</v>
      </c>
      <c r="M165" s="22">
        <f t="shared" si="80"/>
        <v>0</v>
      </c>
      <c r="N165" s="22">
        <f t="shared" si="80"/>
        <v>0</v>
      </c>
      <c r="O165" s="22">
        <f t="shared" si="80"/>
        <v>0</v>
      </c>
      <c r="P165" s="23">
        <f>SUM(L165:O165)</f>
        <v>0</v>
      </c>
      <c r="Q165" s="81">
        <v>50</v>
      </c>
      <c r="R165" s="41">
        <f>P165-Q165</f>
        <v>-50</v>
      </c>
      <c r="S165" s="278">
        <f>IF(Q165=0,"",P165/Q165)</f>
        <v>0</v>
      </c>
      <c r="T165" s="74">
        <f>P165-G165</f>
        <v>0</v>
      </c>
      <c r="U165" s="275" t="str">
        <f>IF(G165=0,"",P165/G165)</f>
        <v/>
      </c>
    </row>
    <row r="166" spans="1:21" x14ac:dyDescent="0.3">
      <c r="F166" s="14"/>
      <c r="G166" s="24"/>
      <c r="H166" s="22"/>
      <c r="I166" s="22"/>
      <c r="J166" s="22"/>
      <c r="K166" s="22"/>
      <c r="L166" s="42"/>
      <c r="M166" s="22"/>
      <c r="N166" s="22"/>
      <c r="O166" s="22"/>
      <c r="P166" s="23"/>
      <c r="Q166" s="81"/>
      <c r="R166" s="41"/>
      <c r="S166" s="257"/>
      <c r="T166" s="74"/>
      <c r="U166" s="275"/>
    </row>
    <row r="167" spans="1:21" x14ac:dyDescent="0.3">
      <c r="C167" s="1" t="s">
        <v>192</v>
      </c>
      <c r="F167" s="16"/>
      <c r="G167" s="48">
        <v>758.65</v>
      </c>
      <c r="H167" s="49">
        <f t="shared" ref="H167:Q167" si="81">SUM(H161:H166)</f>
        <v>200.39</v>
      </c>
      <c r="I167" s="49">
        <f t="shared" si="81"/>
        <v>200.39</v>
      </c>
      <c r="J167" s="49">
        <f t="shared" si="81"/>
        <v>200.39</v>
      </c>
      <c r="K167" s="49">
        <f t="shared" si="81"/>
        <v>200.39</v>
      </c>
      <c r="L167" s="50">
        <f t="shared" si="81"/>
        <v>200.39</v>
      </c>
      <c r="M167" s="49">
        <f t="shared" si="81"/>
        <v>0</v>
      </c>
      <c r="N167" s="49">
        <f t="shared" si="81"/>
        <v>0</v>
      </c>
      <c r="O167" s="49">
        <f t="shared" si="81"/>
        <v>0</v>
      </c>
      <c r="P167" s="73">
        <f t="shared" si="81"/>
        <v>200.39</v>
      </c>
      <c r="Q167" s="87">
        <f t="shared" si="81"/>
        <v>500</v>
      </c>
      <c r="R167" s="51">
        <f>SUM(R161:R166)</f>
        <v>-299.61</v>
      </c>
      <c r="S167" s="327">
        <f>IF(Q167=0,"",P167/Q167)</f>
        <v>0.40077999999999997</v>
      </c>
      <c r="T167" s="80">
        <f>SUM(T161:T166)</f>
        <v>-558.26</v>
      </c>
      <c r="U167" s="329">
        <f>IF(G167=0,"",P167/G167)</f>
        <v>0.26414024912673828</v>
      </c>
    </row>
    <row r="171" spans="1:21" x14ac:dyDescent="0.3">
      <c r="A171" t="s">
        <v>68</v>
      </c>
    </row>
    <row r="172" spans="1:21" x14ac:dyDescent="0.3">
      <c r="A172">
        <v>1</v>
      </c>
      <c r="B172" s="3" t="s">
        <v>90</v>
      </c>
    </row>
    <row r="173" spans="1:21" x14ac:dyDescent="0.3">
      <c r="A173">
        <v>2</v>
      </c>
      <c r="B173" t="s">
        <v>8</v>
      </c>
    </row>
    <row r="174" spans="1:21" x14ac:dyDescent="0.3">
      <c r="A174">
        <v>3</v>
      </c>
      <c r="B174" t="s">
        <v>9</v>
      </c>
    </row>
    <row r="175" spans="1:21" x14ac:dyDescent="0.3">
      <c r="A175">
        <v>4</v>
      </c>
      <c r="B175" t="s">
        <v>10</v>
      </c>
    </row>
  </sheetData>
  <phoneticPr fontId="3" type="noConversion"/>
  <pageMargins left="0.75" right="0.75" top="0.5" bottom="1" header="0.5" footer="0.5"/>
  <pageSetup scale="58" fitToHeight="3" orientation="landscape" horizontalDpi="4294967292" verticalDpi="4294967292" r:id="rId1"/>
  <headerFooter alignWithMargins="0">
    <oddFooter>&amp;L&amp;F&amp;C&amp;D&amp;R&amp;A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49"/>
    <pageSetUpPr fitToPage="1"/>
  </sheetPr>
  <dimension ref="A1:O85"/>
  <sheetViews>
    <sheetView zoomScaleNormal="100" workbookViewId="0">
      <pane xSplit="5" ySplit="7" topLeftCell="F46" activePane="bottomRight" state="frozen"/>
      <selection activeCell="D4" sqref="D4"/>
      <selection pane="topRight" activeCell="D4" sqref="D4"/>
      <selection pane="bottomLeft" activeCell="D4" sqref="D4"/>
      <selection pane="bottomRight" activeCell="K66" sqref="K66"/>
    </sheetView>
  </sheetViews>
  <sheetFormatPr defaultColWidth="11.07421875" defaultRowHeight="13.5" outlineLevelRow="1" x14ac:dyDescent="0.3"/>
  <cols>
    <col min="1" max="1" width="5.921875" customWidth="1"/>
    <col min="2" max="2" width="6.3828125" customWidth="1"/>
    <col min="3" max="3" width="4.07421875" customWidth="1"/>
    <col min="4" max="4" width="3.921875" customWidth="1"/>
    <col min="5" max="5" width="10.07421875" customWidth="1"/>
    <col min="6" max="6" width="8.921875" customWidth="1"/>
    <col min="7" max="7" width="12.3828125" customWidth="1"/>
    <col min="8" max="8" width="11.921875" customWidth="1"/>
    <col min="9" max="9" width="14.07421875" bestFit="1" customWidth="1"/>
    <col min="10" max="10" width="12.921875" customWidth="1"/>
    <col min="11" max="11" width="11.61328125" customWidth="1"/>
    <col min="12" max="12" width="12" customWidth="1"/>
    <col min="13" max="14" width="14.69140625" bestFit="1" customWidth="1"/>
  </cols>
  <sheetData>
    <row r="1" spans="1:14" ht="15" x14ac:dyDescent="0.3">
      <c r="A1" s="2" t="s">
        <v>193</v>
      </c>
    </row>
    <row r="2" spans="1:14" x14ac:dyDescent="0.3">
      <c r="A2" s="21" t="s">
        <v>82</v>
      </c>
      <c r="I2" s="22"/>
    </row>
    <row r="3" spans="1:14" ht="15.5" thickBot="1" x14ac:dyDescent="0.35">
      <c r="A3" s="2" t="s">
        <v>202</v>
      </c>
    </row>
    <row r="4" spans="1:14" ht="14" thickBot="1" x14ac:dyDescent="0.35">
      <c r="A4" s="1" t="s">
        <v>35</v>
      </c>
      <c r="D4" s="36">
        <v>4</v>
      </c>
    </row>
    <row r="5" spans="1:14" x14ac:dyDescent="0.3">
      <c r="E5" s="34"/>
      <c r="G5" s="170" t="s">
        <v>89</v>
      </c>
      <c r="H5">
        <v>1</v>
      </c>
      <c r="I5">
        <v>2</v>
      </c>
      <c r="J5">
        <v>3</v>
      </c>
      <c r="K5">
        <v>4</v>
      </c>
    </row>
    <row r="6" spans="1:14" ht="15" x14ac:dyDescent="0.3">
      <c r="A6" s="2"/>
      <c r="F6" s="180" t="s">
        <v>217</v>
      </c>
      <c r="G6" s="157" t="s">
        <v>81</v>
      </c>
      <c r="H6" s="130" t="s">
        <v>139</v>
      </c>
      <c r="I6" s="131" t="s">
        <v>139</v>
      </c>
      <c r="J6" s="131" t="s">
        <v>139</v>
      </c>
      <c r="K6" s="164" t="s">
        <v>80</v>
      </c>
      <c r="L6" s="165" t="s">
        <v>20</v>
      </c>
      <c r="M6" s="165" t="s">
        <v>140</v>
      </c>
      <c r="N6" s="166" t="s">
        <v>141</v>
      </c>
    </row>
    <row r="7" spans="1:14" x14ac:dyDescent="0.3">
      <c r="F7" s="181" t="s">
        <v>218</v>
      </c>
      <c r="G7" s="158">
        <v>40632</v>
      </c>
      <c r="H7" s="167">
        <v>40723</v>
      </c>
      <c r="I7" s="168">
        <v>40815</v>
      </c>
      <c r="J7" s="168">
        <v>40907</v>
      </c>
      <c r="K7" s="160">
        <v>40998</v>
      </c>
      <c r="L7" s="162" t="s">
        <v>433</v>
      </c>
      <c r="M7" s="162" t="s">
        <v>20</v>
      </c>
      <c r="N7" s="163" t="s">
        <v>128</v>
      </c>
    </row>
    <row r="8" spans="1:14" x14ac:dyDescent="0.3">
      <c r="A8" s="1" t="s">
        <v>151</v>
      </c>
      <c r="F8" s="182"/>
      <c r="G8" s="177"/>
      <c r="H8" s="194"/>
      <c r="I8" s="195"/>
      <c r="J8" s="195"/>
      <c r="K8" s="195"/>
      <c r="L8" s="143"/>
      <c r="M8" s="129"/>
      <c r="N8" s="144"/>
    </row>
    <row r="9" spans="1:14" x14ac:dyDescent="0.3">
      <c r="F9" s="179"/>
      <c r="G9" s="145"/>
      <c r="H9" s="196"/>
      <c r="I9" s="197"/>
      <c r="J9" s="197"/>
      <c r="K9" s="197"/>
      <c r="L9" s="145"/>
      <c r="M9" s="141"/>
      <c r="N9" s="146"/>
    </row>
    <row r="10" spans="1:14" x14ac:dyDescent="0.3">
      <c r="B10" t="s">
        <v>356</v>
      </c>
      <c r="F10" s="179"/>
      <c r="G10" s="132">
        <v>58320.61</v>
      </c>
      <c r="H10" s="198">
        <v>50325.72</v>
      </c>
      <c r="I10" s="199">
        <v>24105.439999999999</v>
      </c>
      <c r="J10" s="199">
        <v>28449.39</v>
      </c>
      <c r="K10" s="199">
        <v>44974.37</v>
      </c>
      <c r="L10" s="132">
        <f>45900+56500-45000-2226</f>
        <v>55174</v>
      </c>
      <c r="M10" s="137">
        <f>IF($D$4=$H$5,H10-L10,IF($D$4=$I$5,I10-L10,IF($D$4=$J$5,J10-L10,K10-L10)))</f>
        <v>-10199.629999999997</v>
      </c>
      <c r="N10" s="147"/>
    </row>
    <row r="11" spans="1:14" x14ac:dyDescent="0.3">
      <c r="B11" t="s">
        <v>357</v>
      </c>
      <c r="F11" s="179"/>
      <c r="G11" s="132">
        <v>50066.67</v>
      </c>
      <c r="H11" s="198">
        <v>60070.879999999997</v>
      </c>
      <c r="I11" s="199">
        <v>60075.42</v>
      </c>
      <c r="J11" s="199">
        <v>60079.96</v>
      </c>
      <c r="K11" s="199">
        <v>60084.46</v>
      </c>
      <c r="L11" s="132">
        <v>60100</v>
      </c>
      <c r="M11" s="137">
        <f>IF($D$4=$H$5,H11-L11,IF($D$4=$I$5,I11-L11,IF($D$4=$J$5,J11-L11,K11-L11)))</f>
        <v>-15.540000000000873</v>
      </c>
      <c r="N11" s="147"/>
    </row>
    <row r="12" spans="1:14" x14ac:dyDescent="0.3">
      <c r="B12" t="s">
        <v>87</v>
      </c>
      <c r="F12" s="179"/>
      <c r="G12" s="132"/>
      <c r="H12" s="198"/>
      <c r="I12" s="199"/>
      <c r="J12" s="199"/>
      <c r="K12" s="199"/>
      <c r="L12" s="132"/>
      <c r="M12" s="133"/>
      <c r="N12" s="147"/>
    </row>
    <row r="13" spans="1:14" x14ac:dyDescent="0.3">
      <c r="F13" s="179"/>
      <c r="G13" s="132"/>
      <c r="H13" s="198"/>
      <c r="I13" s="199"/>
      <c r="J13" s="199"/>
      <c r="K13" s="199"/>
      <c r="L13" s="132"/>
      <c r="M13" s="133"/>
      <c r="N13" s="147"/>
    </row>
    <row r="14" spans="1:14" x14ac:dyDescent="0.3">
      <c r="F14" s="179"/>
      <c r="G14" s="132"/>
      <c r="H14" s="198"/>
      <c r="I14" s="199"/>
      <c r="J14" s="199"/>
      <c r="K14" s="199"/>
      <c r="L14" s="132"/>
      <c r="M14" s="133"/>
      <c r="N14" s="147"/>
    </row>
    <row r="15" spans="1:14" x14ac:dyDescent="0.3">
      <c r="B15" s="1" t="s">
        <v>243</v>
      </c>
      <c r="F15" s="179"/>
      <c r="G15" s="150">
        <f t="shared" ref="G15:L15" si="0">SUM(G10:G14)</f>
        <v>108387.28</v>
      </c>
      <c r="H15" s="200">
        <f t="shared" si="0"/>
        <v>110396.6</v>
      </c>
      <c r="I15" s="201">
        <f>SUM(I10:I14)</f>
        <v>84180.86</v>
      </c>
      <c r="J15" s="201">
        <f>SUM(J10:J14)</f>
        <v>88529.35</v>
      </c>
      <c r="K15" s="201">
        <f t="shared" si="0"/>
        <v>105058.83</v>
      </c>
      <c r="L15" s="150">
        <f t="shared" si="0"/>
        <v>115274</v>
      </c>
      <c r="M15" s="178">
        <f>IF($D$4=$H$5,H15-L15,IF($D$4=$I$5,I15-L15,IF($D$4=$J$5,J15-L15,K15-L15)))</f>
        <v>-10215.169999999998</v>
      </c>
      <c r="N15" s="151">
        <f>IF($D$4=$H$5,H15-G15,IF($D$4=$I$5,I15-G15,IF($D$4=$J$5,J15-G15,K15-G15)))</f>
        <v>-3328.4499999999971</v>
      </c>
    </row>
    <row r="16" spans="1:14" outlineLevel="1" x14ac:dyDescent="0.3">
      <c r="F16" s="179"/>
      <c r="G16" s="132"/>
      <c r="H16" s="198"/>
      <c r="I16" s="199"/>
      <c r="J16" s="199"/>
      <c r="K16" s="199"/>
      <c r="L16" s="132"/>
      <c r="M16" s="133"/>
      <c r="N16" s="147"/>
    </row>
    <row r="17" spans="2:14" outlineLevel="1" x14ac:dyDescent="0.3">
      <c r="B17" t="s">
        <v>143</v>
      </c>
      <c r="F17" s="179">
        <v>1010</v>
      </c>
      <c r="G17" s="132"/>
      <c r="H17" s="198"/>
      <c r="I17" s="199"/>
      <c r="J17" s="199"/>
      <c r="K17" s="199"/>
      <c r="L17" s="132"/>
      <c r="M17" s="133"/>
      <c r="N17" s="147"/>
    </row>
    <row r="18" spans="2:14" outlineLevel="1" x14ac:dyDescent="0.3">
      <c r="B18" t="s">
        <v>144</v>
      </c>
      <c r="F18" s="179">
        <v>1070</v>
      </c>
      <c r="G18" s="132"/>
      <c r="H18" s="198"/>
      <c r="I18" s="199"/>
      <c r="J18" s="199"/>
      <c r="K18" s="199"/>
      <c r="L18" s="132"/>
      <c r="M18" s="133"/>
      <c r="N18" s="147"/>
    </row>
    <row r="19" spans="2:14" outlineLevel="1" x14ac:dyDescent="0.3">
      <c r="B19" t="s">
        <v>145</v>
      </c>
      <c r="F19" s="179"/>
      <c r="G19" s="132"/>
      <c r="H19" s="198"/>
      <c r="I19" s="199"/>
      <c r="J19" s="199"/>
      <c r="K19" s="199"/>
      <c r="L19" s="132"/>
      <c r="M19" s="133"/>
      <c r="N19" s="147"/>
    </row>
    <row r="20" spans="2:14" outlineLevel="1" x14ac:dyDescent="0.3">
      <c r="F20" s="179"/>
      <c r="G20" s="132"/>
      <c r="H20" s="198"/>
      <c r="I20" s="199"/>
      <c r="J20" s="199"/>
      <c r="K20" s="199"/>
      <c r="L20" s="132"/>
      <c r="M20" s="133"/>
      <c r="N20" s="147"/>
    </row>
    <row r="21" spans="2:14" outlineLevel="1" x14ac:dyDescent="0.3">
      <c r="F21" s="179"/>
      <c r="G21" s="136"/>
      <c r="H21" s="202"/>
      <c r="I21" s="203"/>
      <c r="J21" s="203"/>
      <c r="K21" s="199"/>
      <c r="L21" s="132"/>
      <c r="M21" s="133"/>
      <c r="N21" s="147"/>
    </row>
    <row r="22" spans="2:14" outlineLevel="1" x14ac:dyDescent="0.3">
      <c r="B22" s="1" t="s">
        <v>38</v>
      </c>
      <c r="F22" s="179"/>
      <c r="G22" s="150">
        <f t="shared" ref="G22:L22" si="1">SUM(G17:G21)</f>
        <v>0</v>
      </c>
      <c r="H22" s="200">
        <f t="shared" si="1"/>
        <v>0</v>
      </c>
      <c r="I22" s="201">
        <f t="shared" si="1"/>
        <v>0</v>
      </c>
      <c r="J22" s="201">
        <f t="shared" si="1"/>
        <v>0</v>
      </c>
      <c r="K22" s="201">
        <f t="shared" si="1"/>
        <v>0</v>
      </c>
      <c r="L22" s="150">
        <f t="shared" si="1"/>
        <v>0</v>
      </c>
      <c r="M22" s="148">
        <f>IF($D$4=$H$5,H22-L22,IF($D$4=$I$5,I22-L22,IF($D$4=$J$5,J22-L22,K22-L22)))</f>
        <v>0</v>
      </c>
      <c r="N22" s="151">
        <f>IF($D$4=$H$5,H22-G22,IF($D$4=$I$5,I22-G22,IF($D$4=$J$5,J22-G22,K22-G22)))</f>
        <v>0</v>
      </c>
    </row>
    <row r="23" spans="2:14" outlineLevel="1" x14ac:dyDescent="0.3">
      <c r="F23" s="179"/>
      <c r="G23" s="132"/>
      <c r="H23" s="198"/>
      <c r="I23" s="199"/>
      <c r="J23" s="199"/>
      <c r="K23" s="199"/>
      <c r="L23" s="132"/>
      <c r="M23" s="133"/>
      <c r="N23" s="147"/>
    </row>
    <row r="24" spans="2:14" outlineLevel="1" x14ac:dyDescent="0.3">
      <c r="B24" t="s">
        <v>146</v>
      </c>
      <c r="F24" s="179"/>
      <c r="G24" s="132"/>
      <c r="H24" s="198"/>
      <c r="I24" s="199"/>
      <c r="J24" s="199"/>
      <c r="K24" s="199"/>
      <c r="L24" s="132"/>
      <c r="M24" s="133"/>
      <c r="N24" s="147"/>
    </row>
    <row r="25" spans="2:14" outlineLevel="1" x14ac:dyDescent="0.3">
      <c r="B25" t="s">
        <v>147</v>
      </c>
      <c r="F25" s="179"/>
      <c r="G25" s="132"/>
      <c r="H25" s="198"/>
      <c r="I25" s="199"/>
      <c r="J25" s="199"/>
      <c r="K25" s="199"/>
      <c r="L25" s="132"/>
      <c r="M25" s="133"/>
      <c r="N25" s="147"/>
    </row>
    <row r="26" spans="2:14" outlineLevel="1" x14ac:dyDescent="0.3">
      <c r="B26" t="s">
        <v>296</v>
      </c>
      <c r="F26" s="179"/>
      <c r="G26" s="132"/>
      <c r="H26" s="198"/>
      <c r="I26" s="199"/>
      <c r="J26" s="199"/>
      <c r="K26" s="199"/>
      <c r="L26" s="132"/>
      <c r="M26" s="133"/>
      <c r="N26" s="147"/>
    </row>
    <row r="27" spans="2:14" outlineLevel="1" x14ac:dyDescent="0.3">
      <c r="F27" s="179"/>
      <c r="G27" s="132"/>
      <c r="H27" s="198"/>
      <c r="I27" s="199"/>
      <c r="J27" s="199"/>
      <c r="K27" s="199"/>
      <c r="L27" s="132"/>
      <c r="M27" s="133"/>
      <c r="N27" s="147"/>
    </row>
    <row r="28" spans="2:14" outlineLevel="1" x14ac:dyDescent="0.3">
      <c r="F28" s="179"/>
      <c r="G28" s="132"/>
      <c r="H28" s="198"/>
      <c r="I28" s="199"/>
      <c r="J28" s="199"/>
      <c r="K28" s="199"/>
      <c r="L28" s="132"/>
      <c r="M28" s="133"/>
      <c r="N28" s="147"/>
    </row>
    <row r="29" spans="2:14" outlineLevel="1" x14ac:dyDescent="0.3">
      <c r="B29" s="1" t="s">
        <v>39</v>
      </c>
      <c r="F29" s="179"/>
      <c r="G29" s="150">
        <f t="shared" ref="G29:L29" si="2">SUM(G24:G28)</f>
        <v>0</v>
      </c>
      <c r="H29" s="200">
        <f t="shared" si="2"/>
        <v>0</v>
      </c>
      <c r="I29" s="201">
        <f t="shared" si="2"/>
        <v>0</v>
      </c>
      <c r="J29" s="201">
        <f t="shared" si="2"/>
        <v>0</v>
      </c>
      <c r="K29" s="201">
        <f t="shared" si="2"/>
        <v>0</v>
      </c>
      <c r="L29" s="150">
        <f t="shared" si="2"/>
        <v>0</v>
      </c>
      <c r="M29" s="148">
        <f>IF($D$4=$H$5,H29-L29,IF($D$4=$I$5,I29-L29,IF($D$4=$J$5,J29-L29,K29-L29)))</f>
        <v>0</v>
      </c>
      <c r="N29" s="151">
        <f>IF($D$4=$H$5,H29-G29,IF($D$4=$I$5,I29-G29,IF($D$4=$J$5,J29-G29,K29-G29)))</f>
        <v>0</v>
      </c>
    </row>
    <row r="30" spans="2:14" outlineLevel="1" x14ac:dyDescent="0.3">
      <c r="F30" s="179"/>
      <c r="G30" s="132"/>
      <c r="H30" s="198"/>
      <c r="I30" s="199"/>
      <c r="J30" s="199"/>
      <c r="K30" s="199"/>
      <c r="L30" s="132"/>
      <c r="M30" s="133"/>
      <c r="N30" s="147"/>
    </row>
    <row r="31" spans="2:14" outlineLevel="1" x14ac:dyDescent="0.3">
      <c r="B31" s="1" t="s">
        <v>150</v>
      </c>
      <c r="F31" s="179"/>
      <c r="G31" s="134">
        <f t="shared" ref="G31:L31" si="3">+G15+G22+G29</f>
        <v>108387.28</v>
      </c>
      <c r="H31" s="204">
        <f t="shared" si="3"/>
        <v>110396.6</v>
      </c>
      <c r="I31" s="205">
        <f t="shared" si="3"/>
        <v>84180.86</v>
      </c>
      <c r="J31" s="205">
        <f t="shared" si="3"/>
        <v>88529.35</v>
      </c>
      <c r="K31" s="205">
        <f t="shared" si="3"/>
        <v>105058.83</v>
      </c>
      <c r="L31" s="134">
        <f t="shared" si="3"/>
        <v>115274</v>
      </c>
      <c r="M31" s="135">
        <f>IF($D$4=$H$5,H31-L31,IF($D$4=$I$5,I31-L31,IF($D$4=$J$5,J31-L31,K31-L31)))</f>
        <v>-10215.169999999998</v>
      </c>
      <c r="N31" s="152">
        <f>IF($D$4=$H$5,H31-G31,IF($D$4=$I$5,I31-G31,IF($D$4=$J$5,J31-G31,K31-G31)))</f>
        <v>-3328.4499999999971</v>
      </c>
    </row>
    <row r="32" spans="2:14" x14ac:dyDescent="0.3">
      <c r="F32" s="179"/>
      <c r="G32" s="132"/>
      <c r="H32" s="198"/>
      <c r="I32" s="199"/>
      <c r="J32" s="199"/>
      <c r="K32" s="199"/>
      <c r="L32" s="132"/>
      <c r="M32" s="133"/>
      <c r="N32" s="147"/>
    </row>
    <row r="33" spans="1:15" x14ac:dyDescent="0.3">
      <c r="A33" s="1" t="s">
        <v>153</v>
      </c>
      <c r="F33" s="179"/>
      <c r="G33" s="136"/>
      <c r="H33" s="202"/>
      <c r="I33" s="203"/>
      <c r="J33" s="203"/>
      <c r="K33" s="203"/>
      <c r="L33" s="136"/>
      <c r="M33" s="137"/>
      <c r="N33" s="153"/>
    </row>
    <row r="34" spans="1:15" x14ac:dyDescent="0.3">
      <c r="B34" t="s">
        <v>252</v>
      </c>
      <c r="F34" s="179"/>
      <c r="G34" s="136">
        <v>119544.71</v>
      </c>
      <c r="H34" s="202">
        <v>118650.65</v>
      </c>
      <c r="I34" s="203">
        <v>118778.37</v>
      </c>
      <c r="J34" s="203">
        <v>118267.48</v>
      </c>
      <c r="K34" s="203">
        <v>118969.96</v>
      </c>
      <c r="L34" s="136">
        <v>120000</v>
      </c>
      <c r="M34" s="137">
        <f>IF($D$4=$H$5,H34-L34,IF($D$4=$I$5,I34-L34,IF($D$4=$J$5,J34-L34,K34-L34)))</f>
        <v>-1030.0399999999936</v>
      </c>
      <c r="N34" s="153"/>
    </row>
    <row r="35" spans="1:15" x14ac:dyDescent="0.3">
      <c r="F35" s="179"/>
      <c r="G35" s="136"/>
      <c r="H35" s="202"/>
      <c r="I35" s="203"/>
      <c r="J35" s="203"/>
      <c r="K35" s="203"/>
      <c r="L35" s="136"/>
      <c r="M35" s="137"/>
      <c r="N35" s="153"/>
    </row>
    <row r="36" spans="1:15" x14ac:dyDescent="0.3">
      <c r="F36" s="179"/>
      <c r="G36" s="132"/>
      <c r="H36" s="198"/>
      <c r="I36" s="199"/>
      <c r="J36" s="199"/>
      <c r="K36" s="199"/>
      <c r="L36" s="132"/>
      <c r="M36" s="133"/>
      <c r="N36" s="147"/>
    </row>
    <row r="37" spans="1:15" x14ac:dyDescent="0.3">
      <c r="B37" s="1" t="s">
        <v>154</v>
      </c>
      <c r="F37" s="179"/>
      <c r="G37" s="150">
        <f t="shared" ref="G37:L37" si="4">SUM(G34:G36)</f>
        <v>119544.71</v>
      </c>
      <c r="H37" s="200">
        <f t="shared" si="4"/>
        <v>118650.65</v>
      </c>
      <c r="I37" s="201">
        <f t="shared" si="4"/>
        <v>118778.37</v>
      </c>
      <c r="J37" s="201">
        <f t="shared" si="4"/>
        <v>118267.48</v>
      </c>
      <c r="K37" s="201">
        <f t="shared" si="4"/>
        <v>118969.96</v>
      </c>
      <c r="L37" s="150">
        <f t="shared" si="4"/>
        <v>120000</v>
      </c>
      <c r="M37" s="149">
        <f>IF($D$4=$H$5,H37-L37,IF($D$4=$I$5,I37-L37,IF($D$4=$J$5,J37-L37,K37-L37)))</f>
        <v>-1030.0399999999936</v>
      </c>
      <c r="N37" s="151">
        <f>IF($D$4=$H$5,H37-G37,IF($D$4=$I$5,I37-G37,IF($D$4=$J$5,J37-G37,K37-G37)))</f>
        <v>-574.75</v>
      </c>
    </row>
    <row r="38" spans="1:15" x14ac:dyDescent="0.3">
      <c r="F38" s="179"/>
      <c r="G38" s="132"/>
      <c r="H38" s="198"/>
      <c r="I38" s="199"/>
      <c r="J38" s="199"/>
      <c r="K38" s="199"/>
      <c r="L38" s="132"/>
      <c r="M38" s="133"/>
      <c r="N38" s="147"/>
    </row>
    <row r="39" spans="1:15" hidden="1" outlineLevel="1" x14ac:dyDescent="0.3">
      <c r="A39" s="1" t="s">
        <v>254</v>
      </c>
      <c r="B39" s="1"/>
      <c r="F39" s="179"/>
      <c r="G39" s="132"/>
      <c r="H39" s="198"/>
      <c r="I39" s="199"/>
      <c r="J39" s="199"/>
      <c r="K39" s="199"/>
      <c r="L39" s="132"/>
      <c r="M39" s="133"/>
      <c r="N39" s="147"/>
    </row>
    <row r="40" spans="1:15" hidden="1" outlineLevel="1" x14ac:dyDescent="0.3">
      <c r="B40" t="s">
        <v>156</v>
      </c>
      <c r="F40" s="179"/>
      <c r="G40" s="132"/>
      <c r="H40" s="198"/>
      <c r="I40" s="199"/>
      <c r="J40" s="199"/>
      <c r="K40" s="199"/>
      <c r="L40" s="132"/>
      <c r="M40" s="133"/>
      <c r="N40" s="147"/>
    </row>
    <row r="41" spans="1:15" hidden="1" outlineLevel="1" x14ac:dyDescent="0.3">
      <c r="B41" t="s">
        <v>37</v>
      </c>
      <c r="F41" s="179"/>
      <c r="G41" s="132"/>
      <c r="H41" s="198"/>
      <c r="I41" s="199"/>
      <c r="J41" s="199"/>
      <c r="K41" s="199"/>
      <c r="L41" s="132"/>
      <c r="M41" s="133"/>
      <c r="N41" s="147"/>
    </row>
    <row r="42" spans="1:15" hidden="1" outlineLevel="1" x14ac:dyDescent="0.3">
      <c r="F42" s="179"/>
      <c r="G42" s="132"/>
      <c r="H42" s="198"/>
      <c r="I42" s="199"/>
      <c r="J42" s="199"/>
      <c r="K42" s="199"/>
      <c r="L42" s="132"/>
      <c r="M42" s="133"/>
      <c r="N42" s="147"/>
    </row>
    <row r="43" spans="1:15" collapsed="1" x14ac:dyDescent="0.3">
      <c r="B43" s="1" t="s">
        <v>26</v>
      </c>
      <c r="F43" s="179"/>
      <c r="G43" s="150">
        <f t="shared" ref="G43:L43" si="5">SUM(G40:G42)</f>
        <v>0</v>
      </c>
      <c r="H43" s="200">
        <f t="shared" si="5"/>
        <v>0</v>
      </c>
      <c r="I43" s="201">
        <f>SUM(I40:I42)</f>
        <v>0</v>
      </c>
      <c r="J43" s="201">
        <f t="shared" si="5"/>
        <v>0</v>
      </c>
      <c r="K43" s="201">
        <f t="shared" si="5"/>
        <v>0</v>
      </c>
      <c r="L43" s="150">
        <f t="shared" si="5"/>
        <v>0</v>
      </c>
      <c r="M43" s="148">
        <f>IF($D$4=$H$5,H43-L43,IF($D$4=$I$5,I43-L43,IF($D$4=$J$5,J43-L43,K43-L43)))</f>
        <v>0</v>
      </c>
      <c r="N43" s="151">
        <f>IF($D$4=$H$5,H43-G43,IF($D$4=$I$5,I43-G43,IF($D$4=$J$5,J43-G43,K43-G43)))</f>
        <v>0</v>
      </c>
    </row>
    <row r="44" spans="1:15" x14ac:dyDescent="0.3">
      <c r="F44" s="179"/>
      <c r="G44" s="132"/>
      <c r="H44" s="198"/>
      <c r="I44" s="199"/>
      <c r="J44" s="199"/>
      <c r="K44" s="199"/>
      <c r="L44" s="132"/>
      <c r="M44" s="133"/>
      <c r="N44" s="147"/>
    </row>
    <row r="45" spans="1:15" ht="14" thickBot="1" x14ac:dyDescent="0.35">
      <c r="A45" s="1" t="s">
        <v>40</v>
      </c>
      <c r="F45" s="179"/>
      <c r="G45" s="138">
        <f t="shared" ref="G45:L45" si="6">+G43+G37+G31</f>
        <v>227931.99</v>
      </c>
      <c r="H45" s="206">
        <f t="shared" si="6"/>
        <v>229047.25</v>
      </c>
      <c r="I45" s="207">
        <f t="shared" si="6"/>
        <v>202959.22999999998</v>
      </c>
      <c r="J45" s="207">
        <f t="shared" si="6"/>
        <v>206796.83000000002</v>
      </c>
      <c r="K45" s="207">
        <f t="shared" si="6"/>
        <v>224028.79</v>
      </c>
      <c r="L45" s="138">
        <f t="shared" si="6"/>
        <v>235274</v>
      </c>
      <c r="M45" s="140">
        <f>IF($D$4=$H$5,H45-L45,IF($D$4=$I$5,I45-L45,IF($D$4=$J$5,J45-L45,K45-L45)))</f>
        <v>-11245.209999999992</v>
      </c>
      <c r="N45" s="154">
        <f>IF($D$4=$H$5,H45-G45,IF($D$4=$I$5,I45-G45,IF($D$4=$J$5,J45-G45,K45-G45)))</f>
        <v>-3903.1999999999825</v>
      </c>
    </row>
    <row r="46" spans="1:15" ht="14" thickTop="1" x14ac:dyDescent="0.3">
      <c r="F46" s="179"/>
      <c r="G46" s="132"/>
      <c r="H46" s="198"/>
      <c r="I46" s="199"/>
      <c r="J46" s="199"/>
      <c r="K46" s="199"/>
      <c r="L46" s="132"/>
      <c r="M46" s="133"/>
      <c r="N46" s="147"/>
    </row>
    <row r="47" spans="1:15" x14ac:dyDescent="0.3">
      <c r="A47" s="1" t="s">
        <v>44</v>
      </c>
      <c r="F47" s="179"/>
      <c r="G47" s="132"/>
      <c r="H47" s="198"/>
      <c r="I47" s="199"/>
      <c r="J47" s="199"/>
      <c r="K47" s="199"/>
      <c r="L47" s="132"/>
      <c r="M47" s="133"/>
      <c r="N47" s="147"/>
      <c r="O47" s="22"/>
    </row>
    <row r="48" spans="1:15" x14ac:dyDescent="0.3">
      <c r="B48" t="s">
        <v>41</v>
      </c>
      <c r="F48" s="179">
        <v>2020</v>
      </c>
      <c r="G48" s="132">
        <f>265+1555</f>
        <v>1820</v>
      </c>
      <c r="H48" s="198">
        <v>450</v>
      </c>
      <c r="I48" s="199">
        <v>0</v>
      </c>
      <c r="J48" s="199">
        <v>0</v>
      </c>
      <c r="K48" s="199">
        <v>2110</v>
      </c>
      <c r="L48" s="132">
        <v>1000</v>
      </c>
      <c r="M48" s="133"/>
      <c r="N48" s="147"/>
    </row>
    <row r="49" spans="1:14" x14ac:dyDescent="0.3">
      <c r="B49" t="s">
        <v>42</v>
      </c>
      <c r="F49" s="179">
        <v>2010</v>
      </c>
      <c r="G49" s="132"/>
      <c r="H49" s="198"/>
      <c r="I49" s="199"/>
      <c r="J49" s="199"/>
      <c r="K49" s="199"/>
      <c r="L49" s="132"/>
      <c r="M49" s="133"/>
      <c r="N49" s="147"/>
    </row>
    <row r="50" spans="1:14" x14ac:dyDescent="0.3">
      <c r="B50" t="s">
        <v>43</v>
      </c>
      <c r="F50" s="179">
        <v>3111</v>
      </c>
      <c r="G50" s="150"/>
      <c r="H50" s="198"/>
      <c r="I50" s="203"/>
      <c r="J50" s="199"/>
      <c r="K50" s="199"/>
      <c r="L50" s="132"/>
      <c r="M50" s="133"/>
      <c r="N50" s="147"/>
    </row>
    <row r="51" spans="1:14" x14ac:dyDescent="0.3">
      <c r="B51" t="s">
        <v>219</v>
      </c>
      <c r="F51" s="179">
        <v>2040</v>
      </c>
      <c r="G51" s="132"/>
      <c r="H51" s="198"/>
      <c r="I51" s="199"/>
      <c r="J51" s="199"/>
      <c r="K51" s="199"/>
      <c r="L51" s="132"/>
      <c r="M51" s="133"/>
      <c r="N51" s="147"/>
    </row>
    <row r="52" spans="1:14" x14ac:dyDescent="0.3">
      <c r="B52" t="s">
        <v>78</v>
      </c>
      <c r="F52" s="179"/>
      <c r="G52" s="132"/>
      <c r="H52" s="198"/>
      <c r="I52" s="199"/>
      <c r="J52" s="199"/>
      <c r="K52" s="199"/>
      <c r="L52" s="132"/>
      <c r="M52" s="133"/>
      <c r="N52" s="147"/>
    </row>
    <row r="53" spans="1:14" x14ac:dyDescent="0.3">
      <c r="F53" s="179"/>
      <c r="G53" s="132"/>
      <c r="H53" s="198"/>
      <c r="I53" s="199"/>
      <c r="J53" s="199"/>
      <c r="K53" s="199"/>
      <c r="L53" s="132"/>
      <c r="M53" s="133"/>
      <c r="N53" s="147"/>
    </row>
    <row r="54" spans="1:14" x14ac:dyDescent="0.3">
      <c r="F54" s="179"/>
      <c r="G54" s="132"/>
      <c r="H54" s="198"/>
      <c r="I54" s="199"/>
      <c r="J54" s="199"/>
      <c r="K54" s="199"/>
      <c r="L54" s="132"/>
      <c r="M54" s="133"/>
      <c r="N54" s="147"/>
    </row>
    <row r="55" spans="1:14" x14ac:dyDescent="0.3">
      <c r="B55" s="1" t="s">
        <v>45</v>
      </c>
      <c r="F55" s="179"/>
      <c r="G55" s="150">
        <f t="shared" ref="G55:L55" si="7">SUM(G48:G54)</f>
        <v>1820</v>
      </c>
      <c r="H55" s="200">
        <f t="shared" si="7"/>
        <v>450</v>
      </c>
      <c r="I55" s="201">
        <f t="shared" si="7"/>
        <v>0</v>
      </c>
      <c r="J55" s="201">
        <f t="shared" si="7"/>
        <v>0</v>
      </c>
      <c r="K55" s="201">
        <f t="shared" si="7"/>
        <v>2110</v>
      </c>
      <c r="L55" s="150">
        <f t="shared" si="7"/>
        <v>1000</v>
      </c>
      <c r="M55" s="149">
        <f>IF($D$4=$H$5,H55-L55,IF($D$4=$I$5,I55-L55,IF($D$4=$J$5,J55-L55,K55-L55)))</f>
        <v>1110</v>
      </c>
      <c r="N55" s="151">
        <f>IF($D$4=$H$5,H55-G55,IF($D$4=$I$5,I55-G55,IF($D$4=$J$5,J55-G55,K55-G55)))</f>
        <v>290</v>
      </c>
    </row>
    <row r="56" spans="1:14" x14ac:dyDescent="0.3">
      <c r="F56" s="179"/>
      <c r="G56" s="132"/>
      <c r="H56" s="198"/>
      <c r="I56" s="199"/>
      <c r="J56" s="199"/>
      <c r="K56" s="199"/>
      <c r="L56" s="132"/>
      <c r="M56" s="133"/>
      <c r="N56" s="147"/>
    </row>
    <row r="57" spans="1:14" x14ac:dyDescent="0.3">
      <c r="A57" s="1" t="s">
        <v>46</v>
      </c>
      <c r="F57" s="179"/>
      <c r="G57" s="132"/>
      <c r="H57" s="198"/>
      <c r="I57" s="199"/>
      <c r="J57" s="199"/>
      <c r="K57" s="199"/>
      <c r="L57" s="132"/>
      <c r="M57" s="133"/>
      <c r="N57" s="147"/>
    </row>
    <row r="58" spans="1:14" x14ac:dyDescent="0.3">
      <c r="B58" s="156" t="s">
        <v>422</v>
      </c>
      <c r="F58" s="179" t="s">
        <v>79</v>
      </c>
      <c r="G58" s="132">
        <f>G11+G34-G59</f>
        <v>100066.67</v>
      </c>
      <c r="H58" s="198">
        <f>H11+H34-H59-10000</f>
        <v>100070.88</v>
      </c>
      <c r="I58" s="199">
        <f>I11+I34-I59</f>
        <v>110075.41999999998</v>
      </c>
      <c r="J58" s="199">
        <f>J11+J34-J59</f>
        <v>109569.07</v>
      </c>
      <c r="K58" s="199">
        <f>K11+K34-K59</f>
        <v>110084.45300000001</v>
      </c>
      <c r="L58" s="132">
        <v>100000</v>
      </c>
      <c r="M58" s="133">
        <f>IF($D$4=$H$5,H58-L58,IF($D$4=$I$5,I58-L58,IF($D$4=$J$5,J58-L58,K58-L58)))</f>
        <v>10084.453000000009</v>
      </c>
      <c r="N58" s="147"/>
    </row>
    <row r="59" spans="1:14" x14ac:dyDescent="0.3">
      <c r="B59" t="s">
        <v>118</v>
      </c>
      <c r="F59" s="179"/>
      <c r="G59" s="132">
        <v>69544.710000000006</v>
      </c>
      <c r="H59" s="198">
        <v>68650.649999999994</v>
      </c>
      <c r="I59" s="199">
        <v>68778.37</v>
      </c>
      <c r="J59" s="199">
        <f>118778.37-50000</f>
        <v>68778.37</v>
      </c>
      <c r="K59" s="199">
        <f>118969.967-50000</f>
        <v>68969.967000000004</v>
      </c>
      <c r="L59" s="132">
        <v>70000</v>
      </c>
      <c r="M59" s="133">
        <f>IF($D$4=$H$5,H59-L59,IF($D$4=$I$5,I59-L59,IF($D$4=$J$5,J59-L59,K59-L59)))</f>
        <v>-1030.0329999999958</v>
      </c>
      <c r="N59" s="147"/>
    </row>
    <row r="60" spans="1:14" x14ac:dyDescent="0.3">
      <c r="B60" t="s">
        <v>33</v>
      </c>
      <c r="F60" s="179"/>
      <c r="G60" s="132">
        <f>50000+6500.61</f>
        <v>56500.61</v>
      </c>
      <c r="H60" s="198">
        <f>50000+10000-124.28</f>
        <v>59875.72</v>
      </c>
      <c r="I60" s="199">
        <f>-3052.56+10892+43424-10892-16266</f>
        <v>24105.440000000002</v>
      </c>
      <c r="J60" s="199">
        <f>28449.39</f>
        <v>28449.39</v>
      </c>
      <c r="K60" s="199">
        <f>44974.37-2110</f>
        <v>42864.37</v>
      </c>
      <c r="L60" s="132">
        <f>66500-2226</f>
        <v>64274</v>
      </c>
      <c r="M60" s="133">
        <f>IF($D$4=$H$5,H60-L60,IF($D$4=$I$5,I60-L60,IF($D$4=$J$5,J60-L60,K60-L60)))</f>
        <v>-21409.629999999997</v>
      </c>
      <c r="N60" s="147"/>
    </row>
    <row r="61" spans="1:14" x14ac:dyDescent="0.3">
      <c r="F61" s="179"/>
      <c r="G61" s="132"/>
      <c r="H61" s="198"/>
      <c r="I61" s="189"/>
      <c r="J61" s="199"/>
      <c r="K61" s="199"/>
      <c r="L61" s="132"/>
      <c r="M61" s="133"/>
      <c r="N61" s="147"/>
    </row>
    <row r="62" spans="1:14" x14ac:dyDescent="0.3">
      <c r="B62" s="1" t="s">
        <v>75</v>
      </c>
      <c r="F62" s="179"/>
      <c r="G62" s="150">
        <f t="shared" ref="G62:M62" si="8">SUM(G58:G61)</f>
        <v>226111.99</v>
      </c>
      <c r="H62" s="200">
        <f t="shared" si="8"/>
        <v>228597.25</v>
      </c>
      <c r="I62" s="201">
        <f t="shared" si="8"/>
        <v>202959.22999999998</v>
      </c>
      <c r="J62" s="201">
        <f t="shared" si="8"/>
        <v>206796.83000000002</v>
      </c>
      <c r="K62" s="201">
        <f t="shared" si="8"/>
        <v>221918.79</v>
      </c>
      <c r="L62" s="150">
        <f t="shared" si="8"/>
        <v>234274</v>
      </c>
      <c r="M62" s="149">
        <f t="shared" si="8"/>
        <v>-12355.209999999985</v>
      </c>
      <c r="N62" s="151">
        <f>IF($D$4=$H$5,H62-G62,IF($D$4=$I$5,I62-G62,IF($D$4=$J$5,J62-G62,K62-G62)))</f>
        <v>-4193.1999999999825</v>
      </c>
    </row>
    <row r="63" spans="1:14" x14ac:dyDescent="0.3">
      <c r="F63" s="179"/>
      <c r="G63" s="132"/>
      <c r="H63" s="198"/>
      <c r="I63" s="199"/>
      <c r="J63" s="199"/>
      <c r="K63" s="199"/>
      <c r="L63" s="132"/>
      <c r="M63" s="133"/>
      <c r="N63" s="147"/>
    </row>
    <row r="64" spans="1:14" ht="14" thickBot="1" x14ac:dyDescent="0.35">
      <c r="A64" s="1" t="s">
        <v>129</v>
      </c>
      <c r="F64" s="183"/>
      <c r="G64" s="138">
        <f t="shared" ref="G64:L64" si="9">+G55+G62</f>
        <v>227931.99</v>
      </c>
      <c r="H64" s="206">
        <f t="shared" si="9"/>
        <v>229047.25</v>
      </c>
      <c r="I64" s="207">
        <f t="shared" si="9"/>
        <v>202959.22999999998</v>
      </c>
      <c r="J64" s="207">
        <f t="shared" si="9"/>
        <v>206796.83000000002</v>
      </c>
      <c r="K64" s="207">
        <f t="shared" si="9"/>
        <v>224028.79</v>
      </c>
      <c r="L64" s="138">
        <f t="shared" si="9"/>
        <v>235274</v>
      </c>
      <c r="M64" s="139">
        <f>IF($D$4=$H$5,H64-L64,IF($D$4=$I$5,I64-L64,IF($D$4=$J$5,J64-L64,K64-L64)))</f>
        <v>-11245.209999999992</v>
      </c>
      <c r="N64" s="154">
        <f>IF($D$4=$H$5,H64-G64,IF($D$4=$I$5,I64-G64,IF($D$4=$J$5,J64-G64,K64-G64)))</f>
        <v>-3903.1999999999825</v>
      </c>
    </row>
    <row r="65" spans="1:14" ht="14" thickTop="1" x14ac:dyDescent="0.3">
      <c r="F65" s="10"/>
      <c r="G65" s="129"/>
      <c r="H65" s="195"/>
      <c r="I65" s="195"/>
      <c r="J65" s="195"/>
      <c r="K65" s="195"/>
      <c r="L65" s="129"/>
      <c r="M65" s="129"/>
      <c r="N65" s="129"/>
    </row>
    <row r="66" spans="1:14" x14ac:dyDescent="0.3">
      <c r="A66" t="s">
        <v>88</v>
      </c>
      <c r="F66" s="10"/>
      <c r="G66" s="155">
        <f t="shared" ref="G66:L66" si="10">+G45-G64</f>
        <v>0</v>
      </c>
      <c r="H66" s="209">
        <f t="shared" si="10"/>
        <v>0</v>
      </c>
      <c r="I66" s="208">
        <f t="shared" si="10"/>
        <v>0</v>
      </c>
      <c r="J66" s="209">
        <f t="shared" si="10"/>
        <v>0</v>
      </c>
      <c r="K66" s="209">
        <f t="shared" si="10"/>
        <v>0</v>
      </c>
      <c r="L66" s="341">
        <f t="shared" si="10"/>
        <v>0</v>
      </c>
      <c r="M66" s="155">
        <f>ROUND(M45-M64,3)</f>
        <v>0</v>
      </c>
      <c r="N66" s="155">
        <f>IF(+N45-N64&lt;ABS(0.000001),0,+N45-N64)</f>
        <v>0</v>
      </c>
    </row>
    <row r="67" spans="1:14" x14ac:dyDescent="0.3">
      <c r="H67" s="189"/>
      <c r="I67" s="189"/>
      <c r="J67" s="189"/>
      <c r="K67" s="189"/>
    </row>
    <row r="68" spans="1:14" x14ac:dyDescent="0.3">
      <c r="H68" s="189"/>
      <c r="I68" s="189"/>
      <c r="J68" s="189"/>
      <c r="K68" s="185"/>
    </row>
    <row r="69" spans="1:14" x14ac:dyDescent="0.3">
      <c r="H69" s="189"/>
      <c r="I69" s="189"/>
      <c r="J69" s="189"/>
      <c r="K69" s="189"/>
    </row>
    <row r="70" spans="1:14" x14ac:dyDescent="0.3">
      <c r="A70" s="1" t="s">
        <v>120</v>
      </c>
      <c r="F70" s="17"/>
      <c r="G70" s="17"/>
      <c r="H70" s="210"/>
      <c r="I70" s="210"/>
      <c r="J70" s="210"/>
      <c r="K70" s="210"/>
    </row>
    <row r="71" spans="1:14" x14ac:dyDescent="0.3">
      <c r="B71" t="s">
        <v>121</v>
      </c>
      <c r="F71" s="13">
        <v>3115</v>
      </c>
      <c r="G71" s="95"/>
      <c r="H71" s="211"/>
      <c r="I71" s="212"/>
      <c r="J71" s="212"/>
      <c r="K71" s="213"/>
      <c r="L71" s="126"/>
    </row>
    <row r="72" spans="1:14" x14ac:dyDescent="0.3">
      <c r="B72" t="s">
        <v>122</v>
      </c>
      <c r="F72" s="4">
        <v>3116</v>
      </c>
      <c r="G72" s="95"/>
      <c r="H72" s="211"/>
      <c r="I72" s="212"/>
      <c r="J72" s="212"/>
      <c r="K72" s="214"/>
      <c r="L72" s="127"/>
    </row>
    <row r="73" spans="1:14" x14ac:dyDescent="0.3">
      <c r="B73" t="s">
        <v>123</v>
      </c>
      <c r="F73" s="4">
        <v>3112</v>
      </c>
      <c r="G73" s="95"/>
      <c r="H73" s="211"/>
      <c r="I73" s="212"/>
      <c r="J73" s="212"/>
      <c r="K73" s="214"/>
      <c r="L73" s="127"/>
    </row>
    <row r="74" spans="1:14" x14ac:dyDescent="0.3">
      <c r="B74" t="s">
        <v>124</v>
      </c>
      <c r="F74" s="4">
        <v>3113</v>
      </c>
      <c r="G74" s="95"/>
      <c r="H74" s="211"/>
      <c r="I74" s="212"/>
      <c r="J74" s="212"/>
      <c r="K74" s="214"/>
      <c r="L74" s="127"/>
    </row>
    <row r="75" spans="1:14" x14ac:dyDescent="0.3">
      <c r="B75" t="s">
        <v>85</v>
      </c>
      <c r="F75" s="4">
        <v>3117</v>
      </c>
      <c r="G75" s="95"/>
      <c r="H75" s="211"/>
      <c r="I75" s="212"/>
      <c r="J75" s="212"/>
      <c r="K75" s="214"/>
      <c r="L75" s="127"/>
    </row>
    <row r="76" spans="1:14" x14ac:dyDescent="0.3">
      <c r="B76" t="s">
        <v>21</v>
      </c>
      <c r="F76" s="4">
        <v>3118</v>
      </c>
      <c r="G76" s="95"/>
      <c r="H76" s="211"/>
      <c r="I76" s="212"/>
      <c r="J76" s="212"/>
      <c r="K76" s="214"/>
      <c r="L76" s="127"/>
    </row>
    <row r="77" spans="1:14" x14ac:dyDescent="0.3">
      <c r="B77" t="s">
        <v>23</v>
      </c>
      <c r="F77" s="4">
        <v>3119</v>
      </c>
      <c r="G77" s="95"/>
      <c r="H77" s="211"/>
      <c r="I77" s="212"/>
      <c r="J77" s="212"/>
      <c r="K77" s="214"/>
      <c r="L77" s="127"/>
    </row>
    <row r="78" spans="1:14" x14ac:dyDescent="0.3">
      <c r="B78" t="s">
        <v>24</v>
      </c>
      <c r="F78" s="4">
        <v>3120</v>
      </c>
      <c r="G78" s="95"/>
      <c r="H78" s="211"/>
      <c r="I78" s="212"/>
      <c r="J78" s="212"/>
      <c r="K78" s="214"/>
      <c r="L78" s="127"/>
    </row>
    <row r="79" spans="1:14" x14ac:dyDescent="0.3">
      <c r="B79" t="s">
        <v>25</v>
      </c>
      <c r="F79" s="4">
        <v>3121</v>
      </c>
      <c r="G79" s="95"/>
      <c r="H79" s="211"/>
      <c r="I79" s="212"/>
      <c r="J79" s="212"/>
      <c r="K79" s="214"/>
      <c r="L79" s="127"/>
    </row>
    <row r="80" spans="1:14" x14ac:dyDescent="0.3">
      <c r="B80" t="s">
        <v>149</v>
      </c>
      <c r="F80" s="4">
        <v>3122</v>
      </c>
      <c r="G80" s="95"/>
      <c r="H80" s="211"/>
      <c r="I80" s="212"/>
      <c r="J80" s="212"/>
      <c r="K80" s="214"/>
      <c r="L80" s="127"/>
    </row>
    <row r="81" spans="2:12" x14ac:dyDescent="0.3">
      <c r="B81" t="s">
        <v>29</v>
      </c>
      <c r="F81" s="4">
        <v>3123</v>
      </c>
      <c r="G81" s="95"/>
      <c r="H81" s="211"/>
      <c r="I81" s="212"/>
      <c r="J81" s="212"/>
      <c r="K81" s="214"/>
      <c r="L81" s="127"/>
    </row>
    <row r="82" spans="2:12" x14ac:dyDescent="0.3">
      <c r="F82" s="4"/>
      <c r="G82" s="95"/>
      <c r="H82" s="211"/>
      <c r="I82" s="212"/>
      <c r="J82" s="212"/>
      <c r="K82" s="214"/>
      <c r="L82" s="127"/>
    </row>
    <row r="83" spans="2:12" x14ac:dyDescent="0.3">
      <c r="F83" s="97"/>
      <c r="G83" s="95"/>
      <c r="H83" s="211"/>
      <c r="I83" s="212"/>
      <c r="J83" s="212"/>
      <c r="K83" s="214"/>
      <c r="L83" s="127"/>
    </row>
    <row r="84" spans="2:12" ht="14" thickBot="1" x14ac:dyDescent="0.35">
      <c r="B84" s="1" t="s">
        <v>31</v>
      </c>
      <c r="F84" s="98"/>
      <c r="G84" s="103">
        <f>SUM(G71:G83)</f>
        <v>0</v>
      </c>
      <c r="H84" s="215">
        <f>SUM(H71:H83)</f>
        <v>0</v>
      </c>
      <c r="I84" s="216">
        <f>SUM(I71:I83)</f>
        <v>0</v>
      </c>
      <c r="J84" s="216">
        <f>SUM(J71:J83)</f>
        <v>0</v>
      </c>
      <c r="K84" s="217">
        <f>SUM(K71:K83)</f>
        <v>0</v>
      </c>
      <c r="L84" s="128"/>
    </row>
    <row r="85" spans="2:12" ht="14" thickTop="1" x14ac:dyDescent="0.3"/>
  </sheetData>
  <phoneticPr fontId="3" type="noConversion"/>
  <pageMargins left="0.75" right="0.75" top="1" bottom="1" header="0.5" footer="0.5"/>
  <pageSetup scale="53" orientation="landscape" horizontalDpi="4294967292" verticalDpi="4294967292" r:id="rId1"/>
  <headerFooter alignWithMargins="0">
    <oddFooter>&amp;L&amp;F&amp;C&amp;D&amp;R&amp;A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indexed="49"/>
    <pageSetUpPr fitToPage="1"/>
  </sheetPr>
  <dimension ref="A1:P33"/>
  <sheetViews>
    <sheetView zoomScaleNormal="100" workbookViewId="0">
      <selection activeCell="P11" sqref="P11"/>
    </sheetView>
  </sheetViews>
  <sheetFormatPr defaultColWidth="11.07421875" defaultRowHeight="13.5" x14ac:dyDescent="0.3"/>
  <cols>
    <col min="1" max="1" width="5.69140625" customWidth="1"/>
    <col min="2" max="2" width="5.07421875" customWidth="1"/>
    <col min="3" max="3" width="4.61328125" customWidth="1"/>
    <col min="4" max="4" width="4.3828125" customWidth="1"/>
    <col min="5" max="5" width="4.69140625" customWidth="1"/>
    <col min="6" max="6" width="7.61328125" customWidth="1"/>
    <col min="7" max="7" width="12" customWidth="1"/>
    <col min="9" max="10" width="12.921875" customWidth="1"/>
    <col min="12" max="12" width="12" customWidth="1"/>
    <col min="13" max="13" width="12.07421875" customWidth="1"/>
  </cols>
  <sheetData>
    <row r="1" spans="1:15" ht="15" x14ac:dyDescent="0.3">
      <c r="A1" s="2" t="s">
        <v>193</v>
      </c>
    </row>
    <row r="2" spans="1:15" x14ac:dyDescent="0.3">
      <c r="A2" s="21" t="s">
        <v>82</v>
      </c>
    </row>
    <row r="3" spans="1:15" ht="14" thickBot="1" x14ac:dyDescent="0.35">
      <c r="A3" s="1" t="s">
        <v>272</v>
      </c>
      <c r="H3">
        <v>1</v>
      </c>
      <c r="I3">
        <v>2</v>
      </c>
      <c r="J3">
        <v>3</v>
      </c>
      <c r="K3">
        <v>4</v>
      </c>
    </row>
    <row r="4" spans="1:15" ht="14" thickBot="1" x14ac:dyDescent="0.35">
      <c r="A4" s="1" t="s">
        <v>36</v>
      </c>
      <c r="E4" s="36">
        <v>4</v>
      </c>
      <c r="G4" s="159" t="s">
        <v>138</v>
      </c>
      <c r="H4" s="9" t="s">
        <v>139</v>
      </c>
      <c r="I4" s="7" t="s">
        <v>139</v>
      </c>
      <c r="J4" s="7" t="s">
        <v>139</v>
      </c>
      <c r="K4" s="7" t="s">
        <v>139</v>
      </c>
      <c r="L4" s="171" t="s">
        <v>138</v>
      </c>
      <c r="M4" s="121" t="s">
        <v>20</v>
      </c>
      <c r="N4" s="172" t="s">
        <v>140</v>
      </c>
      <c r="O4" s="161" t="s">
        <v>141</v>
      </c>
    </row>
    <row r="5" spans="1:15" x14ac:dyDescent="0.3">
      <c r="G5" s="158">
        <v>40632</v>
      </c>
      <c r="H5" s="167">
        <v>40723</v>
      </c>
      <c r="I5" s="168">
        <v>40815</v>
      </c>
      <c r="J5" s="168">
        <v>40907</v>
      </c>
      <c r="K5" s="8">
        <v>40998</v>
      </c>
      <c r="L5" s="122" t="s">
        <v>433</v>
      </c>
      <c r="M5" s="118" t="s">
        <v>433</v>
      </c>
      <c r="N5" s="173" t="s">
        <v>20</v>
      </c>
      <c r="O5" s="163" t="s">
        <v>128</v>
      </c>
    </row>
    <row r="6" spans="1:15" x14ac:dyDescent="0.3">
      <c r="G6" s="18"/>
      <c r="L6" s="18"/>
      <c r="M6" s="94"/>
      <c r="O6" s="19"/>
    </row>
    <row r="7" spans="1:15" x14ac:dyDescent="0.3">
      <c r="A7" s="1" t="s">
        <v>432</v>
      </c>
      <c r="G7" s="108">
        <v>104163.58</v>
      </c>
      <c r="H7" s="109">
        <f>G25</f>
        <v>108387.28</v>
      </c>
      <c r="I7" s="109">
        <f>H25</f>
        <v>110396.6</v>
      </c>
      <c r="J7" s="109">
        <f>I25</f>
        <v>84180.86</v>
      </c>
      <c r="K7" s="109">
        <f>J25</f>
        <v>88529.35</v>
      </c>
      <c r="L7" s="108">
        <f>G25</f>
        <v>108387.28</v>
      </c>
      <c r="M7" s="108">
        <f>L7</f>
        <v>108387.28</v>
      </c>
      <c r="N7" s="109">
        <f>L7-M7</f>
        <v>0</v>
      </c>
      <c r="O7" s="110">
        <f>L7-G7</f>
        <v>4223.6999999999971</v>
      </c>
    </row>
    <row r="8" spans="1:15" x14ac:dyDescent="0.3">
      <c r="G8" s="88"/>
      <c r="H8" s="89"/>
      <c r="I8" s="89"/>
      <c r="J8" s="89"/>
      <c r="K8" s="89"/>
      <c r="L8" s="88"/>
      <c r="M8" s="88"/>
      <c r="N8" s="89"/>
      <c r="O8" s="90"/>
    </row>
    <row r="9" spans="1:15" x14ac:dyDescent="0.3">
      <c r="A9" s="1" t="s">
        <v>65</v>
      </c>
      <c r="G9" s="91">
        <v>30953.7</v>
      </c>
      <c r="H9" s="92">
        <f>'CAC Inc Stmt'!L88</f>
        <v>9379.3200000000033</v>
      </c>
      <c r="I9" s="92">
        <f>+'CAC Inc Stmt'!M88</f>
        <v>-4053.7399999999984</v>
      </c>
      <c r="J9" s="92">
        <f>+'CAC Inc Stmt'!N88</f>
        <v>4348.49</v>
      </c>
      <c r="K9" s="92">
        <f>+'CAC Inc Stmt'!O88</f>
        <v>14419.48</v>
      </c>
      <c r="L9" s="91">
        <f>SUM(H9:K9)</f>
        <v>24093.550000000003</v>
      </c>
      <c r="M9" s="91">
        <f>'CAC Inc Stmt'!Q88</f>
        <v>34906.720000000001</v>
      </c>
      <c r="N9" s="92">
        <f>L9-M9</f>
        <v>-10813.169999999998</v>
      </c>
      <c r="O9" s="93">
        <f>L9-G9</f>
        <v>-6860.1499999999978</v>
      </c>
    </row>
    <row r="10" spans="1:15" x14ac:dyDescent="0.3">
      <c r="G10" s="94"/>
      <c r="H10" s="95"/>
      <c r="I10" s="95"/>
      <c r="J10" s="95"/>
      <c r="K10" s="95"/>
      <c r="L10" s="358"/>
      <c r="M10" s="94"/>
      <c r="N10" s="95"/>
      <c r="O10" s="96"/>
    </row>
    <row r="11" spans="1:15" x14ac:dyDescent="0.3">
      <c r="A11" s="1" t="s">
        <v>66</v>
      </c>
      <c r="G11" s="91">
        <v>0</v>
      </c>
      <c r="H11" s="92"/>
      <c r="I11" s="92"/>
      <c r="J11" s="92"/>
      <c r="K11" s="92"/>
      <c r="L11" s="357">
        <f>SUM(H11:K11)</f>
        <v>0</v>
      </c>
      <c r="M11" s="91">
        <v>0</v>
      </c>
      <c r="N11" s="92">
        <f>L11-M11</f>
        <v>0</v>
      </c>
      <c r="O11" s="93">
        <f>L11-G11</f>
        <v>0</v>
      </c>
    </row>
    <row r="12" spans="1:15" x14ac:dyDescent="0.3">
      <c r="G12" s="94"/>
      <c r="H12" s="95"/>
      <c r="I12" s="95"/>
      <c r="J12" s="95"/>
      <c r="K12" s="95"/>
      <c r="L12" s="358"/>
      <c r="M12" s="94"/>
      <c r="N12" s="95"/>
      <c r="O12" s="96"/>
    </row>
    <row r="13" spans="1:15" x14ac:dyDescent="0.3">
      <c r="A13" s="1" t="s">
        <v>63</v>
      </c>
      <c r="G13" s="91">
        <v>600</v>
      </c>
      <c r="H13" s="92">
        <f>IF(E4=1,'CAC Bal Sheet'!H55-'CAC Bal Sheet'!G55,'CAC Bal Sheet'!H55-'CAC Bal Sheet'!G55)</f>
        <v>-1370</v>
      </c>
      <c r="I13" s="92">
        <f>IF($E$4=2,'CAC Bal Sheet'!I55-'CAC Bal Sheet'!H55,IF(E4=3,'CAC Bal Sheet'!I55-'CAC Bal Sheet'!H55,IF(E4=4,'CAC Bal Sheet'!I55-'CAC Bal Sheet'!H55,0)))</f>
        <v>-450</v>
      </c>
      <c r="J13" s="92">
        <f>IF($E$4=3,'CAC Bal Sheet'!J55-'CAC Bal Sheet'!I55,IF(E4=4,'CAC Bal Sheet'!J55-'CAC Bal Sheet'!I55,0))</f>
        <v>0</v>
      </c>
      <c r="K13" s="92">
        <f>IF($E$4=4,'CAC Bal Sheet'!K55-'CAC Bal Sheet'!J55,0)</f>
        <v>2110</v>
      </c>
      <c r="L13" s="91">
        <f>SUM(H13:K13)</f>
        <v>290</v>
      </c>
      <c r="M13" s="91">
        <v>-820</v>
      </c>
      <c r="N13" s="92">
        <f>L13-M13</f>
        <v>1110</v>
      </c>
      <c r="O13" s="93">
        <f>L13-G13</f>
        <v>-310</v>
      </c>
    </row>
    <row r="14" spans="1:15" x14ac:dyDescent="0.3">
      <c r="G14" s="88"/>
      <c r="H14" s="89"/>
      <c r="I14" s="89"/>
      <c r="J14" s="89"/>
      <c r="K14" s="95"/>
      <c r="L14" s="94"/>
      <c r="M14" s="94"/>
      <c r="N14" s="95"/>
      <c r="O14" s="96"/>
    </row>
    <row r="15" spans="1:15" x14ac:dyDescent="0.3">
      <c r="G15" s="94"/>
      <c r="H15" s="95"/>
      <c r="I15" s="95"/>
      <c r="J15" s="95"/>
      <c r="K15" s="95"/>
      <c r="L15" s="94"/>
      <c r="M15" s="94"/>
      <c r="N15" s="95"/>
      <c r="O15" s="96"/>
    </row>
    <row r="16" spans="1:15" x14ac:dyDescent="0.3">
      <c r="A16" s="1" t="s">
        <v>64</v>
      </c>
      <c r="G16" s="91">
        <v>0</v>
      </c>
      <c r="H16" s="92">
        <f>IF(E7=1,'CAC Bal Sheet'!H43-'CAC Bal Sheet'!G43,'CAC Bal Sheet'!H43-'AL Bal Sheet'!G43)</f>
        <v>0</v>
      </c>
      <c r="I16" s="92">
        <f>IF($E$4=2,'CAC Bal Sheet'!I43-'CAC Bal Sheet'!H43,IF(E7=3,'CAC Bal Sheet'!I43-'CAC Bal Sheet'!H43,IF(E7=4,'CAC Bal Sheet'!I43-'CAC Bal Sheet'!H43,0)))</f>
        <v>0</v>
      </c>
      <c r="J16" s="92">
        <f>IF($E$4=3,'CAC Bal Sheet'!J43-'CAC Bal Sheet'!I43,IF(E7=4,'CAC Bal Sheet'!J43-'CAC Bal Sheet'!I43,0))</f>
        <v>0</v>
      </c>
      <c r="K16" s="92">
        <f>IF($E$4=4,'CAC Bal Sheet'!K43-'CAC Bal Sheet'!J43,0)</f>
        <v>0</v>
      </c>
      <c r="L16" s="91">
        <f>SUM(H16:K16)</f>
        <v>0</v>
      </c>
      <c r="M16" s="91">
        <v>0</v>
      </c>
      <c r="N16" s="92">
        <f>L16-M16</f>
        <v>0</v>
      </c>
      <c r="O16" s="93">
        <f>L16-G16</f>
        <v>0</v>
      </c>
    </row>
    <row r="17" spans="1:16" x14ac:dyDescent="0.3">
      <c r="G17" s="94"/>
      <c r="H17" s="95"/>
      <c r="I17" s="95"/>
      <c r="J17" s="95"/>
      <c r="K17" s="95"/>
      <c r="L17" s="94"/>
      <c r="M17" s="94"/>
      <c r="N17" s="95"/>
      <c r="O17" s="96"/>
    </row>
    <row r="18" spans="1:16" x14ac:dyDescent="0.3">
      <c r="A18" s="1" t="s">
        <v>67</v>
      </c>
      <c r="G18" s="94"/>
      <c r="H18" s="95"/>
      <c r="I18" s="95"/>
      <c r="J18" s="95"/>
      <c r="K18" s="95"/>
      <c r="L18" s="94"/>
      <c r="M18" s="94"/>
      <c r="N18" s="95"/>
      <c r="O18" s="96"/>
    </row>
    <row r="19" spans="1:16" x14ac:dyDescent="0.3">
      <c r="B19" t="s">
        <v>27</v>
      </c>
      <c r="G19" s="94">
        <v>-18189</v>
      </c>
      <c r="H19" s="95">
        <f>+'CAC Inc Stmt'!L99+'CAC Inc Stmt'!L101</f>
        <v>-6000</v>
      </c>
      <c r="I19" s="95">
        <f>+'CAC Inc Stmt'!M99+'CAC Inc Stmt'!M101</f>
        <v>-12407</v>
      </c>
      <c r="J19" s="95">
        <f>+'CAC Inc Stmt'!N99+'CAC Inc Stmt'!N101</f>
        <v>0</v>
      </c>
      <c r="K19" s="95">
        <f>+'CAC Inc Stmt'!O99+'CAC Inc Stmt'!O101</f>
        <v>0</v>
      </c>
      <c r="L19" s="94">
        <f>SUM(H19:K19)</f>
        <v>-18407</v>
      </c>
      <c r="M19" s="94">
        <f>'CAC Inc Stmt'!Q99+'CAC Inc Stmt'!Q101</f>
        <v>-18000</v>
      </c>
      <c r="N19" s="95">
        <f>L19-M19</f>
        <v>-407</v>
      </c>
      <c r="O19" s="96">
        <f>L19-G19</f>
        <v>-218</v>
      </c>
    </row>
    <row r="20" spans="1:16" x14ac:dyDescent="0.3">
      <c r="B20" t="s">
        <v>58</v>
      </c>
      <c r="G20" s="94">
        <v>-9141</v>
      </c>
      <c r="H20" s="95">
        <f>'CAC Inc Stmt'!L100</f>
        <v>0</v>
      </c>
      <c r="I20" s="95">
        <f>'CAC Inc Stmt'!M100</f>
        <v>-9305</v>
      </c>
      <c r="J20" s="95">
        <f>'CAC Inc Stmt'!N100</f>
        <v>0</v>
      </c>
      <c r="K20" s="95">
        <f>'CAC Inc Stmt'!O100</f>
        <v>0</v>
      </c>
      <c r="L20" s="94">
        <f>SUM(H20:K20)</f>
        <v>-9305</v>
      </c>
      <c r="M20" s="94">
        <f>'CAC Inc Stmt'!Q100</f>
        <v>-9200</v>
      </c>
      <c r="N20" s="95">
        <f>L20-M20</f>
        <v>-105</v>
      </c>
      <c r="O20" s="96">
        <f>L20-G20</f>
        <v>-164</v>
      </c>
    </row>
    <row r="21" spans="1:16" x14ac:dyDescent="0.3">
      <c r="B21" t="s">
        <v>59</v>
      </c>
      <c r="G21" s="94">
        <v>0</v>
      </c>
      <c r="H21" s="95"/>
      <c r="I21" s="95"/>
      <c r="J21" s="95"/>
      <c r="K21" s="95"/>
      <c r="L21" s="94">
        <f>SUM(H21:K21)</f>
        <v>0</v>
      </c>
      <c r="M21" s="94"/>
      <c r="N21" s="95">
        <f>L21-M21</f>
        <v>0</v>
      </c>
      <c r="O21" s="96">
        <f>L21-G21</f>
        <v>0</v>
      </c>
    </row>
    <row r="22" spans="1:16" x14ac:dyDescent="0.3">
      <c r="G22" s="94"/>
      <c r="H22" s="95"/>
      <c r="I22" s="95"/>
      <c r="J22" s="95"/>
      <c r="K22" s="95"/>
      <c r="L22" s="94"/>
      <c r="M22" s="94"/>
      <c r="N22" s="95"/>
      <c r="O22" s="96"/>
    </row>
    <row r="23" spans="1:16" x14ac:dyDescent="0.3">
      <c r="B23" s="1" t="s">
        <v>60</v>
      </c>
      <c r="G23" s="91">
        <f t="shared" ref="G23:M23" si="0">SUM(G19:G21)</f>
        <v>-27330</v>
      </c>
      <c r="H23" s="92">
        <f t="shared" si="0"/>
        <v>-6000</v>
      </c>
      <c r="I23" s="92">
        <f t="shared" si="0"/>
        <v>-21712</v>
      </c>
      <c r="J23" s="92">
        <f t="shared" si="0"/>
        <v>0</v>
      </c>
      <c r="K23" s="92">
        <f t="shared" si="0"/>
        <v>0</v>
      </c>
      <c r="L23" s="91">
        <f t="shared" si="0"/>
        <v>-27712</v>
      </c>
      <c r="M23" s="91">
        <f t="shared" si="0"/>
        <v>-27200</v>
      </c>
      <c r="N23" s="92">
        <f>L23-M23</f>
        <v>-512</v>
      </c>
      <c r="O23" s="93">
        <f>L23-G23</f>
        <v>-382</v>
      </c>
    </row>
    <row r="24" spans="1:16" x14ac:dyDescent="0.3">
      <c r="G24" s="184"/>
      <c r="H24" s="89"/>
      <c r="I24" s="89"/>
      <c r="J24" s="89"/>
      <c r="K24" s="89"/>
      <c r="L24" s="184"/>
      <c r="M24" s="88"/>
      <c r="N24" s="89"/>
      <c r="O24" s="90"/>
    </row>
    <row r="25" spans="1:16" ht="14" thickBot="1" x14ac:dyDescent="0.35">
      <c r="A25" s="1" t="s">
        <v>62</v>
      </c>
      <c r="G25" s="111">
        <f t="shared" ref="G25:L25" si="1">+G7+G9+G11+G13+G16+G23</f>
        <v>108387.28</v>
      </c>
      <c r="H25" s="112">
        <f>+H7+H9+H11+H13+H16+H23</f>
        <v>110396.6</v>
      </c>
      <c r="I25" s="112">
        <f t="shared" si="1"/>
        <v>84180.86</v>
      </c>
      <c r="J25" s="112">
        <f t="shared" si="1"/>
        <v>88529.35</v>
      </c>
      <c r="K25" s="112">
        <f t="shared" si="1"/>
        <v>105058.83</v>
      </c>
      <c r="L25" s="111">
        <f t="shared" si="1"/>
        <v>105058.83000000002</v>
      </c>
      <c r="M25" s="111">
        <f>+M7+M9+M11+M13+M16+M23</f>
        <v>115274</v>
      </c>
      <c r="N25" s="112">
        <f>L25-M25</f>
        <v>-10215.169999999984</v>
      </c>
      <c r="O25" s="113">
        <f>L25-G25</f>
        <v>-3328.4499999999825</v>
      </c>
    </row>
    <row r="26" spans="1:16" ht="14" thickTop="1" x14ac:dyDescent="0.3">
      <c r="G26" s="95"/>
      <c r="H26" s="95"/>
      <c r="I26" s="95"/>
      <c r="J26" s="95"/>
      <c r="K26" s="95"/>
      <c r="L26" s="95"/>
      <c r="M26" s="95"/>
      <c r="N26" s="95"/>
      <c r="O26" s="95"/>
    </row>
    <row r="27" spans="1:16" x14ac:dyDescent="0.3">
      <c r="G27" s="95"/>
      <c r="H27" s="95"/>
      <c r="I27" s="95"/>
      <c r="J27" s="95"/>
      <c r="K27" s="95"/>
      <c r="L27" s="95"/>
      <c r="M27" s="95"/>
      <c r="N27" s="95"/>
      <c r="O27" s="95"/>
    </row>
    <row r="28" spans="1:16" x14ac:dyDescent="0.3">
      <c r="A28" t="s">
        <v>71</v>
      </c>
      <c r="G28" s="89"/>
      <c r="H28" s="89"/>
      <c r="I28" s="89"/>
      <c r="J28" s="89"/>
      <c r="K28" s="89"/>
      <c r="L28" s="89"/>
      <c r="M28" s="89"/>
      <c r="N28" s="89"/>
      <c r="O28" s="89"/>
    </row>
    <row r="29" spans="1:16" x14ac:dyDescent="0.3">
      <c r="B29" t="s">
        <v>72</v>
      </c>
      <c r="G29" s="95">
        <f>+'CAC Bal Sheet'!G15</f>
        <v>108387.28</v>
      </c>
      <c r="H29" s="95">
        <f>+'CAC Bal Sheet'!H15</f>
        <v>110396.6</v>
      </c>
      <c r="I29" s="95">
        <f>+'CAC Bal Sheet'!I15-0.0001</f>
        <v>84180.859899999996</v>
      </c>
      <c r="J29" s="95">
        <f>+'CAC Bal Sheet'!J15</f>
        <v>88529.35</v>
      </c>
      <c r="K29" s="95">
        <f>+'CAC Bal Sheet'!K15</f>
        <v>105058.83</v>
      </c>
      <c r="L29" s="95">
        <f>+K29</f>
        <v>105058.83</v>
      </c>
      <c r="M29" s="95">
        <f>+'CAC Bal Sheet'!L15</f>
        <v>115274</v>
      </c>
      <c r="N29" s="95"/>
      <c r="O29" s="95"/>
    </row>
    <row r="30" spans="1:16" ht="14" thickBot="1" x14ac:dyDescent="0.35">
      <c r="B30" t="s">
        <v>73</v>
      </c>
      <c r="G30" s="107">
        <f t="shared" ref="G30:M30" si="2">+G25-G29</f>
        <v>0</v>
      </c>
      <c r="H30" s="107">
        <f t="shared" si="2"/>
        <v>0</v>
      </c>
      <c r="I30" s="107">
        <f t="shared" si="2"/>
        <v>1.0000000474974513E-4</v>
      </c>
      <c r="J30" s="107">
        <f t="shared" si="2"/>
        <v>0</v>
      </c>
      <c r="K30" s="107">
        <f t="shared" si="2"/>
        <v>0</v>
      </c>
      <c r="L30" s="107">
        <f t="shared" si="2"/>
        <v>0</v>
      </c>
      <c r="M30" s="107">
        <f t="shared" si="2"/>
        <v>0</v>
      </c>
      <c r="N30" s="89"/>
      <c r="O30" s="89"/>
      <c r="P30" s="89"/>
    </row>
    <row r="31" spans="1:16" ht="14" thickTop="1" x14ac:dyDescent="0.3"/>
    <row r="32" spans="1:16" x14ac:dyDescent="0.3">
      <c r="L32" s="333"/>
    </row>
    <row r="33" spans="1:1" x14ac:dyDescent="0.3">
      <c r="A33" t="s">
        <v>34</v>
      </c>
    </row>
  </sheetData>
  <phoneticPr fontId="3" type="noConversion"/>
  <pageMargins left="0.75" right="0.75" top="1" bottom="1" header="0.5" footer="0.5"/>
  <pageSetup scale="73" orientation="landscape" horizontalDpi="4294967292" verticalDpi="4294967292"/>
  <headerFooter alignWithMargins="0">
    <oddFooter>&amp;L&amp;F&amp;C&amp;D&amp;R&amp;A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indexed="13"/>
    <pageSetUpPr fitToPage="1"/>
  </sheetPr>
  <dimension ref="A1:U175"/>
  <sheetViews>
    <sheetView zoomScaleNormal="100" workbookViewId="0">
      <pane xSplit="5" ySplit="6" topLeftCell="H7" activePane="bottomRight" state="frozen"/>
      <selection activeCell="E19" sqref="E19"/>
      <selection pane="topRight" activeCell="E19" sqref="E19"/>
      <selection pane="bottomLeft" activeCell="E19" sqref="E19"/>
      <selection pane="bottomRight" activeCell="K1" sqref="K1:K167"/>
    </sheetView>
  </sheetViews>
  <sheetFormatPr defaultColWidth="11.07421875" defaultRowHeight="13.5" outlineLevelRow="1" outlineLevelCol="1" x14ac:dyDescent="0.3"/>
  <cols>
    <col min="1" max="1" width="4.07421875" style="220" customWidth="1"/>
    <col min="2" max="2" width="4.69140625" style="220" customWidth="1"/>
    <col min="3" max="3" width="9.61328125" style="220" customWidth="1"/>
    <col min="4" max="4" width="4.07421875" style="220" customWidth="1"/>
    <col min="5" max="5" width="12.61328125" style="220" customWidth="1"/>
    <col min="6" max="6" width="7.69140625" style="220" customWidth="1"/>
    <col min="7" max="7" width="11.921875" style="220" customWidth="1"/>
    <col min="8" max="9" width="11.921875" customWidth="1" outlineLevel="1"/>
    <col min="10" max="10" width="12.921875" customWidth="1" outlineLevel="1"/>
    <col min="11" max="11" width="11.921875" customWidth="1" outlineLevel="1"/>
    <col min="12" max="12" width="11.23046875" style="220" customWidth="1"/>
    <col min="13" max="13" width="11.07421875" style="220"/>
    <col min="14" max="14" width="12.3828125" style="220" customWidth="1"/>
    <col min="15" max="15" width="11.07421875" style="220"/>
    <col min="16" max="16" width="12.69140625" style="220" customWidth="1"/>
    <col min="17" max="17" width="12" style="220" customWidth="1"/>
    <col min="18" max="18" width="11.07421875" style="220"/>
    <col min="19" max="19" width="10.07421875" style="220" customWidth="1"/>
    <col min="20" max="16384" width="11.07421875" style="220"/>
  </cols>
  <sheetData>
    <row r="1" spans="1:21" ht="15" x14ac:dyDescent="0.3">
      <c r="A1" s="219" t="s">
        <v>265</v>
      </c>
    </row>
    <row r="2" spans="1:21" x14ac:dyDescent="0.3">
      <c r="A2" s="221" t="s">
        <v>266</v>
      </c>
    </row>
    <row r="3" spans="1:21" ht="15" thickBot="1" x14ac:dyDescent="0.4">
      <c r="A3" s="222" t="s">
        <v>267</v>
      </c>
      <c r="E3" s="243"/>
    </row>
    <row r="4" spans="1:21" ht="14" thickBot="1" x14ac:dyDescent="0.35">
      <c r="A4" s="222" t="s">
        <v>268</v>
      </c>
      <c r="D4" s="223">
        <v>4</v>
      </c>
    </row>
    <row r="5" spans="1:21" customFormat="1" x14ac:dyDescent="0.3">
      <c r="A5" s="1"/>
      <c r="F5" s="11" t="s">
        <v>217</v>
      </c>
      <c r="G5" s="119" t="s">
        <v>269</v>
      </c>
      <c r="H5" s="9" t="s">
        <v>131</v>
      </c>
      <c r="I5" s="7" t="s">
        <v>131</v>
      </c>
      <c r="J5" s="7" t="s">
        <v>131</v>
      </c>
      <c r="K5" s="7" t="s">
        <v>131</v>
      </c>
      <c r="L5" s="5" t="s">
        <v>139</v>
      </c>
      <c r="M5" s="6" t="s">
        <v>139</v>
      </c>
      <c r="N5" s="6" t="s">
        <v>139</v>
      </c>
      <c r="O5" s="6" t="s">
        <v>139</v>
      </c>
      <c r="P5" s="117" t="s">
        <v>30</v>
      </c>
      <c r="Q5" s="115" t="s">
        <v>20</v>
      </c>
      <c r="R5" s="115" t="s">
        <v>140</v>
      </c>
      <c r="S5" s="244" t="s">
        <v>140</v>
      </c>
      <c r="T5" s="245" t="s">
        <v>141</v>
      </c>
      <c r="U5" s="246" t="s">
        <v>271</v>
      </c>
    </row>
    <row r="6" spans="1:21" customFormat="1" x14ac:dyDescent="0.3">
      <c r="F6" s="12" t="s">
        <v>218</v>
      </c>
      <c r="G6" s="120" t="s">
        <v>423</v>
      </c>
      <c r="H6" s="167">
        <v>40723</v>
      </c>
      <c r="I6" s="168">
        <v>40815</v>
      </c>
      <c r="J6" s="168">
        <v>40907</v>
      </c>
      <c r="K6" s="168">
        <v>40998</v>
      </c>
      <c r="L6" s="167">
        <v>40723</v>
      </c>
      <c r="M6" s="168">
        <v>40815</v>
      </c>
      <c r="N6" s="168">
        <v>40907</v>
      </c>
      <c r="O6" s="168">
        <v>40998</v>
      </c>
      <c r="P6" s="174" t="s">
        <v>433</v>
      </c>
      <c r="Q6" s="116" t="s">
        <v>433</v>
      </c>
      <c r="R6" s="116" t="s">
        <v>16</v>
      </c>
      <c r="S6" s="247" t="s">
        <v>18</v>
      </c>
      <c r="T6" s="248" t="s">
        <v>19</v>
      </c>
      <c r="U6" s="249" t="s">
        <v>111</v>
      </c>
    </row>
    <row r="7" spans="1:21" x14ac:dyDescent="0.3">
      <c r="A7" s="222" t="s">
        <v>385</v>
      </c>
      <c r="B7" s="222"/>
      <c r="F7" s="250"/>
      <c r="G7" s="251"/>
      <c r="H7" s="185"/>
      <c r="I7" s="185"/>
      <c r="J7" s="185"/>
      <c r="K7" s="22"/>
      <c r="L7" s="253"/>
      <c r="M7" s="252"/>
      <c r="N7" s="252"/>
      <c r="O7" s="252"/>
      <c r="P7" s="254"/>
      <c r="Q7" s="255"/>
      <c r="R7" s="256"/>
      <c r="S7" s="257"/>
      <c r="T7" s="258"/>
      <c r="U7" s="259"/>
    </row>
    <row r="8" spans="1:21" x14ac:dyDescent="0.3">
      <c r="A8" s="222"/>
      <c r="B8" s="222" t="s">
        <v>386</v>
      </c>
      <c r="F8" s="260"/>
      <c r="G8" s="261">
        <f>SUM(G9:G18)</f>
        <v>53696</v>
      </c>
      <c r="H8" s="186">
        <f>SUM(H9:H18)</f>
        <v>8001.5</v>
      </c>
      <c r="I8" s="186">
        <f>SUM(I9:I18)</f>
        <v>22632.95</v>
      </c>
      <c r="J8" s="186">
        <f>SUM(J9:J18)</f>
        <v>30874.91</v>
      </c>
      <c r="K8" s="45">
        <f>SUM(K9:K18)</f>
        <v>41567.78</v>
      </c>
      <c r="L8" s="263">
        <f t="shared" ref="L8:R8" si="0">SUM(L9:L18)</f>
        <v>8001.5</v>
      </c>
      <c r="M8" s="262">
        <f t="shared" si="0"/>
        <v>14631.45</v>
      </c>
      <c r="N8" s="262">
        <f t="shared" si="0"/>
        <v>8241.9600000000009</v>
      </c>
      <c r="O8" s="262">
        <f t="shared" si="0"/>
        <v>10692.869999999999</v>
      </c>
      <c r="P8" s="264">
        <f t="shared" si="0"/>
        <v>41567.78</v>
      </c>
      <c r="Q8" s="265">
        <f>SUM(Q9:Q18)</f>
        <v>53600.1</v>
      </c>
      <c r="R8" s="266">
        <f t="shared" si="0"/>
        <v>-12032.32</v>
      </c>
      <c r="S8" s="267">
        <f t="shared" ref="S8:S16" si="1">IF(Q8=0,"",P8/Q8)</f>
        <v>0.77551683672231952</v>
      </c>
      <c r="T8" s="268">
        <f>SUM(T9:T18)</f>
        <v>-12128.220000000001</v>
      </c>
      <c r="U8" s="269">
        <f t="shared" ref="U8:U17" si="2">IF(G8=0,"",P8/G8)</f>
        <v>0.77413177890345652</v>
      </c>
    </row>
    <row r="9" spans="1:21" outlineLevel="1" x14ac:dyDescent="0.3">
      <c r="C9" s="220" t="s">
        <v>387</v>
      </c>
      <c r="F9" s="260"/>
      <c r="G9" s="270">
        <v>14323</v>
      </c>
      <c r="H9" s="185">
        <v>2802</v>
      </c>
      <c r="I9" s="185">
        <v>2802</v>
      </c>
      <c r="J9" s="185">
        <v>3519</v>
      </c>
      <c r="K9" s="22">
        <v>3709</v>
      </c>
      <c r="L9" s="271">
        <f t="shared" ref="L9:L17" si="3">+H9</f>
        <v>2802</v>
      </c>
      <c r="M9" s="252">
        <f t="shared" ref="M9:O17" si="4">IF(I9=0,0,I9-H9)</f>
        <v>0</v>
      </c>
      <c r="N9" s="252">
        <f t="shared" si="4"/>
        <v>717</v>
      </c>
      <c r="O9" s="252">
        <f t="shared" si="4"/>
        <v>190</v>
      </c>
      <c r="P9" s="254">
        <f t="shared" ref="P9:P17" si="5">SUM(L9:O9)</f>
        <v>3709</v>
      </c>
      <c r="Q9" s="255">
        <v>14000</v>
      </c>
      <c r="R9" s="256">
        <f t="shared" ref="R9:R17" si="6">P9-Q9</f>
        <v>-10291</v>
      </c>
      <c r="S9" s="272">
        <f t="shared" si="1"/>
        <v>0.2649285714285714</v>
      </c>
      <c r="T9" s="258">
        <f t="shared" ref="T9:T17" si="7">P9-G9</f>
        <v>-10614</v>
      </c>
      <c r="U9" s="273">
        <f t="shared" si="2"/>
        <v>0.25895412972142706</v>
      </c>
    </row>
    <row r="10" spans="1:21" outlineLevel="1" x14ac:dyDescent="0.3">
      <c r="C10" s="220" t="s">
        <v>388</v>
      </c>
      <c r="F10" s="260" t="s">
        <v>389</v>
      </c>
      <c r="G10" s="270">
        <v>426</v>
      </c>
      <c r="H10" s="185">
        <v>349</v>
      </c>
      <c r="I10" s="185">
        <v>400</v>
      </c>
      <c r="J10" s="185">
        <f>574+650</f>
        <v>1224</v>
      </c>
      <c r="K10" s="22">
        <v>1455</v>
      </c>
      <c r="L10" s="271">
        <f t="shared" si="3"/>
        <v>349</v>
      </c>
      <c r="M10" s="252">
        <f t="shared" si="4"/>
        <v>51</v>
      </c>
      <c r="N10" s="252">
        <f t="shared" si="4"/>
        <v>824</v>
      </c>
      <c r="O10" s="252">
        <f t="shared" si="4"/>
        <v>231</v>
      </c>
      <c r="P10" s="254">
        <f t="shared" si="5"/>
        <v>1455</v>
      </c>
      <c r="Q10" s="255">
        <v>500</v>
      </c>
      <c r="R10" s="256">
        <f t="shared" si="6"/>
        <v>955</v>
      </c>
      <c r="S10" s="272">
        <f t="shared" si="1"/>
        <v>2.91</v>
      </c>
      <c r="T10" s="258">
        <f t="shared" si="7"/>
        <v>1029</v>
      </c>
      <c r="U10" s="273">
        <f t="shared" si="2"/>
        <v>3.415492957746479</v>
      </c>
    </row>
    <row r="11" spans="1:21" outlineLevel="1" x14ac:dyDescent="0.3">
      <c r="C11" s="220" t="s">
        <v>419</v>
      </c>
      <c r="F11" s="260"/>
      <c r="G11" s="270">
        <v>0</v>
      </c>
      <c r="H11" s="185"/>
      <c r="I11" s="185"/>
      <c r="J11" s="185"/>
      <c r="K11" s="22"/>
      <c r="L11" s="271">
        <f t="shared" si="3"/>
        <v>0</v>
      </c>
      <c r="M11" s="252">
        <f t="shared" si="4"/>
        <v>0</v>
      </c>
      <c r="N11" s="252">
        <f t="shared" si="4"/>
        <v>0</v>
      </c>
      <c r="O11" s="252">
        <f t="shared" si="4"/>
        <v>0</v>
      </c>
      <c r="P11" s="254">
        <f t="shared" si="5"/>
        <v>0</v>
      </c>
      <c r="Q11" s="255">
        <v>0</v>
      </c>
      <c r="R11" s="256">
        <f t="shared" si="6"/>
        <v>0</v>
      </c>
      <c r="S11" s="272" t="str">
        <f t="shared" si="1"/>
        <v/>
      </c>
      <c r="T11" s="258">
        <f t="shared" si="7"/>
        <v>0</v>
      </c>
      <c r="U11" s="273" t="str">
        <f t="shared" si="2"/>
        <v/>
      </c>
    </row>
    <row r="12" spans="1:21" outlineLevel="1" x14ac:dyDescent="0.3">
      <c r="C12" s="220" t="s">
        <v>391</v>
      </c>
      <c r="F12" s="260"/>
      <c r="G12" s="270">
        <v>23114</v>
      </c>
      <c r="H12" s="185">
        <v>248</v>
      </c>
      <c r="I12" s="185">
        <v>5894</v>
      </c>
      <c r="J12" s="185">
        <v>5963</v>
      </c>
      <c r="K12" s="22">
        <v>8972</v>
      </c>
      <c r="L12" s="271">
        <f t="shared" si="3"/>
        <v>248</v>
      </c>
      <c r="M12" s="252">
        <f t="shared" si="4"/>
        <v>5646</v>
      </c>
      <c r="N12" s="252">
        <f t="shared" si="4"/>
        <v>69</v>
      </c>
      <c r="O12" s="252">
        <f t="shared" si="4"/>
        <v>3009</v>
      </c>
      <c r="P12" s="254">
        <f t="shared" si="5"/>
        <v>8972</v>
      </c>
      <c r="Q12" s="255">
        <v>23000</v>
      </c>
      <c r="R12" s="256">
        <f t="shared" si="6"/>
        <v>-14028</v>
      </c>
      <c r="S12" s="272">
        <f t="shared" si="1"/>
        <v>0.39008695652173914</v>
      </c>
      <c r="T12" s="258">
        <f t="shared" si="7"/>
        <v>-14142</v>
      </c>
      <c r="U12" s="273">
        <f t="shared" si="2"/>
        <v>0.38816301808427794</v>
      </c>
    </row>
    <row r="13" spans="1:21" outlineLevel="1" x14ac:dyDescent="0.3">
      <c r="C13" s="220" t="s">
        <v>392</v>
      </c>
      <c r="F13" s="260"/>
      <c r="G13" s="270">
        <v>13306</v>
      </c>
      <c r="H13" s="185">
        <v>1595</v>
      </c>
      <c r="I13" s="185">
        <f>5084+1367</f>
        <v>6451</v>
      </c>
      <c r="J13" s="185">
        <f>6698.13+1662</f>
        <v>8360.130000000001</v>
      </c>
      <c r="K13" s="22">
        <f>1722+11138</f>
        <v>12860</v>
      </c>
      <c r="L13" s="271">
        <f t="shared" si="3"/>
        <v>1595</v>
      </c>
      <c r="M13" s="252">
        <f t="shared" si="4"/>
        <v>4856</v>
      </c>
      <c r="N13" s="252">
        <f t="shared" si="4"/>
        <v>1909.130000000001</v>
      </c>
      <c r="O13" s="252">
        <f t="shared" si="4"/>
        <v>4499.869999999999</v>
      </c>
      <c r="P13" s="254">
        <f t="shared" si="5"/>
        <v>12860</v>
      </c>
      <c r="Q13" s="255">
        <v>13500</v>
      </c>
      <c r="R13" s="256">
        <f t="shared" si="6"/>
        <v>-640</v>
      </c>
      <c r="S13" s="272">
        <f t="shared" si="1"/>
        <v>0.95259259259259255</v>
      </c>
      <c r="T13" s="258">
        <f t="shared" si="7"/>
        <v>-446</v>
      </c>
      <c r="U13" s="273">
        <f t="shared" si="2"/>
        <v>0.96648128663760713</v>
      </c>
    </row>
    <row r="14" spans="1:21" outlineLevel="1" x14ac:dyDescent="0.3">
      <c r="C14" s="220" t="s">
        <v>393</v>
      </c>
      <c r="F14" s="260">
        <v>5490</v>
      </c>
      <c r="G14" s="270">
        <v>1265</v>
      </c>
      <c r="H14" s="185">
        <f>567+30+30</f>
        <v>627</v>
      </c>
      <c r="I14" s="185">
        <f>274+399.5+30-12.05</f>
        <v>691.45</v>
      </c>
      <c r="J14" s="185">
        <f>30+563.5+183.78+401</f>
        <v>1178.28</v>
      </c>
      <c r="K14" s="22">
        <f>183.78+30+683</f>
        <v>896.78</v>
      </c>
      <c r="L14" s="271">
        <f t="shared" si="3"/>
        <v>627</v>
      </c>
      <c r="M14" s="252">
        <f t="shared" si="4"/>
        <v>64.450000000000045</v>
      </c>
      <c r="N14" s="252">
        <f t="shared" si="4"/>
        <v>486.82999999999993</v>
      </c>
      <c r="O14" s="252">
        <f t="shared" si="4"/>
        <v>-281.5</v>
      </c>
      <c r="P14" s="254">
        <f t="shared" si="5"/>
        <v>896.78</v>
      </c>
      <c r="Q14" s="255">
        <f>1300+0.1</f>
        <v>1300.0999999999999</v>
      </c>
      <c r="R14" s="256">
        <f t="shared" si="6"/>
        <v>-403.31999999999994</v>
      </c>
      <c r="S14" s="272">
        <f t="shared" si="1"/>
        <v>0.6897777094069687</v>
      </c>
      <c r="T14" s="258">
        <f t="shared" si="7"/>
        <v>-368.22</v>
      </c>
      <c r="U14" s="273">
        <f t="shared" si="2"/>
        <v>0.70891699604743086</v>
      </c>
    </row>
    <row r="15" spans="1:21" outlineLevel="1" x14ac:dyDescent="0.3">
      <c r="C15" s="274" t="s">
        <v>421</v>
      </c>
      <c r="F15" s="260"/>
      <c r="G15" s="270">
        <v>1262</v>
      </c>
      <c r="H15" s="185">
        <v>2380.5</v>
      </c>
      <c r="I15" s="185">
        <v>6394.5</v>
      </c>
      <c r="J15" s="185">
        <v>10630.5</v>
      </c>
      <c r="K15" s="22">
        <v>13675</v>
      </c>
      <c r="L15" s="271">
        <f t="shared" si="3"/>
        <v>2380.5</v>
      </c>
      <c r="M15" s="252">
        <f t="shared" si="4"/>
        <v>4014</v>
      </c>
      <c r="N15" s="252">
        <f t="shared" si="4"/>
        <v>4236</v>
      </c>
      <c r="O15" s="252">
        <f t="shared" si="4"/>
        <v>3044.5</v>
      </c>
      <c r="P15" s="254">
        <f t="shared" si="5"/>
        <v>13675</v>
      </c>
      <c r="Q15" s="255">
        <v>1300</v>
      </c>
      <c r="R15" s="256">
        <f t="shared" si="6"/>
        <v>12375</v>
      </c>
      <c r="S15" s="272">
        <f t="shared" si="1"/>
        <v>10.51923076923077</v>
      </c>
      <c r="T15" s="258">
        <f t="shared" si="7"/>
        <v>12413</v>
      </c>
      <c r="U15" s="273">
        <f t="shared" si="2"/>
        <v>10.835974643423137</v>
      </c>
    </row>
    <row r="16" spans="1:21" outlineLevel="1" x14ac:dyDescent="0.3">
      <c r="F16" s="260"/>
      <c r="G16" s="270">
        <v>0</v>
      </c>
      <c r="H16" s="185"/>
      <c r="I16" s="185"/>
      <c r="J16" s="185"/>
      <c r="K16" s="22"/>
      <c r="L16" s="271">
        <f t="shared" si="3"/>
        <v>0</v>
      </c>
      <c r="M16" s="252">
        <f t="shared" si="4"/>
        <v>0</v>
      </c>
      <c r="N16" s="252">
        <f t="shared" si="4"/>
        <v>0</v>
      </c>
      <c r="O16" s="252">
        <f t="shared" si="4"/>
        <v>0</v>
      </c>
      <c r="P16" s="254">
        <f t="shared" si="5"/>
        <v>0</v>
      </c>
      <c r="Q16" s="255"/>
      <c r="R16" s="256">
        <f t="shared" si="6"/>
        <v>0</v>
      </c>
      <c r="S16" s="272" t="str">
        <f t="shared" si="1"/>
        <v/>
      </c>
      <c r="T16" s="258">
        <f t="shared" si="7"/>
        <v>0</v>
      </c>
      <c r="U16" s="273" t="str">
        <f t="shared" si="2"/>
        <v/>
      </c>
    </row>
    <row r="17" spans="2:21" outlineLevel="1" x14ac:dyDescent="0.3">
      <c r="F17" s="260"/>
      <c r="G17" s="270">
        <v>0</v>
      </c>
      <c r="H17" s="185"/>
      <c r="I17" s="185"/>
      <c r="J17" s="185"/>
      <c r="K17" s="22"/>
      <c r="L17" s="271">
        <f t="shared" si="3"/>
        <v>0</v>
      </c>
      <c r="M17" s="252">
        <f t="shared" si="4"/>
        <v>0</v>
      </c>
      <c r="N17" s="252">
        <f t="shared" si="4"/>
        <v>0</v>
      </c>
      <c r="O17" s="252">
        <f t="shared" si="4"/>
        <v>0</v>
      </c>
      <c r="P17" s="254">
        <f t="shared" si="5"/>
        <v>0</v>
      </c>
      <c r="Q17" s="255"/>
      <c r="R17" s="256">
        <f t="shared" si="6"/>
        <v>0</v>
      </c>
      <c r="S17" s="257"/>
      <c r="T17" s="258">
        <f t="shared" si="7"/>
        <v>0</v>
      </c>
      <c r="U17" s="275" t="str">
        <f t="shared" si="2"/>
        <v/>
      </c>
    </row>
    <row r="18" spans="2:21" outlineLevel="1" x14ac:dyDescent="0.3">
      <c r="F18" s="260"/>
      <c r="G18" s="270"/>
      <c r="H18" s="185"/>
      <c r="I18" s="185"/>
      <c r="J18" s="185"/>
      <c r="K18" s="22"/>
      <c r="L18" s="271"/>
      <c r="M18" s="252"/>
      <c r="N18" s="252"/>
      <c r="O18" s="252"/>
      <c r="P18" s="254"/>
      <c r="Q18" s="255"/>
      <c r="R18" s="256"/>
      <c r="S18" s="257"/>
      <c r="T18" s="258"/>
      <c r="U18" s="259"/>
    </row>
    <row r="19" spans="2:21" outlineLevel="1" x14ac:dyDescent="0.3">
      <c r="F19" s="260"/>
      <c r="G19" s="270"/>
      <c r="H19" s="185"/>
      <c r="I19" s="185"/>
      <c r="J19" s="185"/>
      <c r="K19" s="22"/>
      <c r="L19" s="271"/>
      <c r="M19" s="252"/>
      <c r="N19" s="252"/>
      <c r="O19" s="252"/>
      <c r="P19" s="254"/>
      <c r="Q19" s="255"/>
      <c r="R19" s="256"/>
      <c r="S19" s="257"/>
      <c r="T19" s="258"/>
      <c r="U19" s="259"/>
    </row>
    <row r="20" spans="2:21" x14ac:dyDescent="0.3">
      <c r="B20" s="222" t="s">
        <v>394</v>
      </c>
      <c r="F20" s="260"/>
      <c r="G20" s="261">
        <f>SUM(G21:G32)</f>
        <v>0</v>
      </c>
      <c r="H20" s="186">
        <f>SUM(H21:H32)</f>
        <v>0</v>
      </c>
      <c r="I20" s="186">
        <f>SUM(I21:I32)</f>
        <v>0</v>
      </c>
      <c r="J20" s="186">
        <f>SUM(J21:J32)</f>
        <v>0</v>
      </c>
      <c r="K20" s="45">
        <f>SUM(K21:K32)</f>
        <v>0</v>
      </c>
      <c r="L20" s="263">
        <f t="shared" ref="L20:R20" si="8">SUM(L21:L32)</f>
        <v>0</v>
      </c>
      <c r="M20" s="262">
        <f t="shared" si="8"/>
        <v>0</v>
      </c>
      <c r="N20" s="262">
        <f t="shared" si="8"/>
        <v>0</v>
      </c>
      <c r="O20" s="262">
        <f t="shared" si="8"/>
        <v>0</v>
      </c>
      <c r="P20" s="264">
        <f t="shared" si="8"/>
        <v>0</v>
      </c>
      <c r="Q20" s="265">
        <f>SUM(Q21:Q32)</f>
        <v>0</v>
      </c>
      <c r="R20" s="266">
        <f t="shared" si="8"/>
        <v>0</v>
      </c>
      <c r="S20" s="267" t="str">
        <f t="shared" ref="S20:S31" si="9">IF(Q20=0,"",P20/Q20)</f>
        <v/>
      </c>
      <c r="T20" s="268">
        <f>SUM(T21:T32)</f>
        <v>0</v>
      </c>
      <c r="U20" s="269" t="str">
        <f t="shared" ref="U20:U28" si="10">IF(G20=0,"",P20/G20)</f>
        <v/>
      </c>
    </row>
    <row r="21" spans="2:21" hidden="1" outlineLevel="1" x14ac:dyDescent="0.3">
      <c r="C21" s="220" t="s">
        <v>395</v>
      </c>
      <c r="F21" s="260">
        <v>5182</v>
      </c>
      <c r="G21" s="270"/>
      <c r="H21" s="185"/>
      <c r="I21" s="185"/>
      <c r="J21" s="185"/>
      <c r="K21" s="22"/>
      <c r="L21" s="271">
        <f t="shared" ref="L21:L30" si="11">+H21</f>
        <v>0</v>
      </c>
      <c r="M21" s="252">
        <f t="shared" ref="M21:O30" si="12">IF(I21=0,0,I21-H21)</f>
        <v>0</v>
      </c>
      <c r="N21" s="252">
        <f t="shared" si="12"/>
        <v>0</v>
      </c>
      <c r="O21" s="252">
        <f t="shared" si="12"/>
        <v>0</v>
      </c>
      <c r="P21" s="254">
        <f t="shared" ref="P21:P30" si="13">SUM(L21:O21)</f>
        <v>0</v>
      </c>
      <c r="Q21" s="255"/>
      <c r="R21" s="256">
        <f t="shared" ref="R21:R31" si="14">P21-Q21</f>
        <v>0</v>
      </c>
      <c r="S21" s="272" t="str">
        <f t="shared" si="9"/>
        <v/>
      </c>
      <c r="T21" s="258">
        <f t="shared" ref="T21:T31" si="15">P21-G21</f>
        <v>0</v>
      </c>
      <c r="U21" s="273" t="str">
        <f t="shared" si="10"/>
        <v/>
      </c>
    </row>
    <row r="22" spans="2:21" hidden="1" outlineLevel="1" x14ac:dyDescent="0.3">
      <c r="C22" s="220" t="s">
        <v>396</v>
      </c>
      <c r="F22" s="260">
        <v>5181</v>
      </c>
      <c r="G22" s="270"/>
      <c r="H22" s="185"/>
      <c r="I22" s="185"/>
      <c r="J22" s="185"/>
      <c r="K22" s="22"/>
      <c r="L22" s="271">
        <f t="shared" si="11"/>
        <v>0</v>
      </c>
      <c r="M22" s="252">
        <f t="shared" si="12"/>
        <v>0</v>
      </c>
      <c r="N22" s="252">
        <f t="shared" si="12"/>
        <v>0</v>
      </c>
      <c r="O22" s="252">
        <f t="shared" si="12"/>
        <v>0</v>
      </c>
      <c r="P22" s="254">
        <f t="shared" si="13"/>
        <v>0</v>
      </c>
      <c r="Q22" s="255"/>
      <c r="R22" s="256">
        <f t="shared" si="14"/>
        <v>0</v>
      </c>
      <c r="S22" s="272" t="str">
        <f t="shared" si="9"/>
        <v/>
      </c>
      <c r="T22" s="258">
        <f t="shared" si="15"/>
        <v>0</v>
      </c>
      <c r="U22" s="273" t="str">
        <f t="shared" si="10"/>
        <v/>
      </c>
    </row>
    <row r="23" spans="2:21" hidden="1" outlineLevel="1" x14ac:dyDescent="0.3">
      <c r="C23" s="220" t="s">
        <v>397</v>
      </c>
      <c r="F23" s="260" t="s">
        <v>398</v>
      </c>
      <c r="G23" s="270"/>
      <c r="H23" s="185"/>
      <c r="I23" s="185"/>
      <c r="J23" s="185"/>
      <c r="K23" s="22"/>
      <c r="L23" s="271">
        <f t="shared" si="11"/>
        <v>0</v>
      </c>
      <c r="M23" s="252">
        <f t="shared" si="12"/>
        <v>0</v>
      </c>
      <c r="N23" s="252">
        <f t="shared" si="12"/>
        <v>0</v>
      </c>
      <c r="O23" s="252">
        <f t="shared" si="12"/>
        <v>0</v>
      </c>
      <c r="P23" s="254">
        <f t="shared" si="13"/>
        <v>0</v>
      </c>
      <c r="Q23" s="255"/>
      <c r="R23" s="256">
        <f t="shared" si="14"/>
        <v>0</v>
      </c>
      <c r="S23" s="272" t="str">
        <f t="shared" si="9"/>
        <v/>
      </c>
      <c r="T23" s="258">
        <f t="shared" si="15"/>
        <v>0</v>
      </c>
      <c r="U23" s="273" t="str">
        <f t="shared" si="10"/>
        <v/>
      </c>
    </row>
    <row r="24" spans="2:21" hidden="1" outlineLevel="1" x14ac:dyDescent="0.3">
      <c r="C24" s="220" t="s">
        <v>288</v>
      </c>
      <c r="F24" s="260" t="s">
        <v>289</v>
      </c>
      <c r="G24" s="270"/>
      <c r="H24" s="185"/>
      <c r="I24" s="185"/>
      <c r="J24" s="185"/>
      <c r="K24" s="22"/>
      <c r="L24" s="271">
        <f t="shared" si="11"/>
        <v>0</v>
      </c>
      <c r="M24" s="252">
        <f t="shared" si="12"/>
        <v>0</v>
      </c>
      <c r="N24" s="252">
        <f t="shared" si="12"/>
        <v>0</v>
      </c>
      <c r="O24" s="252">
        <f t="shared" si="12"/>
        <v>0</v>
      </c>
      <c r="P24" s="254">
        <f t="shared" si="13"/>
        <v>0</v>
      </c>
      <c r="Q24" s="255"/>
      <c r="R24" s="256">
        <f t="shared" si="14"/>
        <v>0</v>
      </c>
      <c r="S24" s="272" t="str">
        <f t="shared" si="9"/>
        <v/>
      </c>
      <c r="T24" s="258">
        <f t="shared" si="15"/>
        <v>0</v>
      </c>
      <c r="U24" s="273" t="str">
        <f t="shared" si="10"/>
        <v/>
      </c>
    </row>
    <row r="25" spans="2:21" hidden="1" outlineLevel="1" x14ac:dyDescent="0.3">
      <c r="C25" s="220" t="s">
        <v>290</v>
      </c>
      <c r="F25" s="260" t="s">
        <v>291</v>
      </c>
      <c r="G25" s="270"/>
      <c r="H25" s="185"/>
      <c r="I25" s="185"/>
      <c r="J25" s="185"/>
      <c r="K25" s="22"/>
      <c r="L25" s="271">
        <f t="shared" si="11"/>
        <v>0</v>
      </c>
      <c r="M25" s="252">
        <f t="shared" si="12"/>
        <v>0</v>
      </c>
      <c r="N25" s="252">
        <f t="shared" si="12"/>
        <v>0</v>
      </c>
      <c r="O25" s="252">
        <f t="shared" si="12"/>
        <v>0</v>
      </c>
      <c r="P25" s="254">
        <f t="shared" si="13"/>
        <v>0</v>
      </c>
      <c r="Q25" s="255"/>
      <c r="R25" s="256">
        <f t="shared" si="14"/>
        <v>0</v>
      </c>
      <c r="S25" s="272" t="str">
        <f t="shared" si="9"/>
        <v/>
      </c>
      <c r="T25" s="258">
        <f t="shared" si="15"/>
        <v>0</v>
      </c>
      <c r="U25" s="273" t="str">
        <f t="shared" si="10"/>
        <v/>
      </c>
    </row>
    <row r="26" spans="2:21" hidden="1" outlineLevel="1" x14ac:dyDescent="0.3">
      <c r="C26" s="220" t="s">
        <v>292</v>
      </c>
      <c r="F26" s="260" t="s">
        <v>293</v>
      </c>
      <c r="G26" s="270"/>
      <c r="H26" s="185"/>
      <c r="I26" s="185"/>
      <c r="J26" s="185"/>
      <c r="K26" s="22"/>
      <c r="L26" s="271">
        <f t="shared" si="11"/>
        <v>0</v>
      </c>
      <c r="M26" s="252">
        <f t="shared" si="12"/>
        <v>0</v>
      </c>
      <c r="N26" s="252">
        <f t="shared" si="12"/>
        <v>0</v>
      </c>
      <c r="O26" s="252">
        <f t="shared" si="12"/>
        <v>0</v>
      </c>
      <c r="P26" s="254">
        <f t="shared" si="13"/>
        <v>0</v>
      </c>
      <c r="Q26" s="255"/>
      <c r="R26" s="256">
        <f t="shared" si="14"/>
        <v>0</v>
      </c>
      <c r="S26" s="272" t="str">
        <f t="shared" si="9"/>
        <v/>
      </c>
      <c r="T26" s="258">
        <f t="shared" si="15"/>
        <v>0</v>
      </c>
      <c r="U26" s="273" t="str">
        <f t="shared" si="10"/>
        <v/>
      </c>
    </row>
    <row r="27" spans="2:21" hidden="1" outlineLevel="1" x14ac:dyDescent="0.3">
      <c r="C27" s="220" t="s">
        <v>388</v>
      </c>
      <c r="F27" s="260" t="s">
        <v>389</v>
      </c>
      <c r="G27" s="270"/>
      <c r="H27" s="185"/>
      <c r="I27" s="185"/>
      <c r="J27" s="185"/>
      <c r="K27" s="22"/>
      <c r="L27" s="271">
        <f t="shared" si="11"/>
        <v>0</v>
      </c>
      <c r="M27" s="252">
        <f t="shared" si="12"/>
        <v>0</v>
      </c>
      <c r="N27" s="252">
        <f t="shared" si="12"/>
        <v>0</v>
      </c>
      <c r="O27" s="252">
        <f t="shared" si="12"/>
        <v>0</v>
      </c>
      <c r="P27" s="254">
        <f t="shared" si="13"/>
        <v>0</v>
      </c>
      <c r="Q27" s="255"/>
      <c r="R27" s="256">
        <f t="shared" si="14"/>
        <v>0</v>
      </c>
      <c r="S27" s="272" t="str">
        <f t="shared" si="9"/>
        <v/>
      </c>
      <c r="T27" s="258">
        <f t="shared" si="15"/>
        <v>0</v>
      </c>
      <c r="U27" s="273" t="str">
        <f t="shared" si="10"/>
        <v/>
      </c>
    </row>
    <row r="28" spans="2:21" hidden="1" outlineLevel="1" x14ac:dyDescent="0.3">
      <c r="C28" s="220" t="s">
        <v>393</v>
      </c>
      <c r="F28" s="260">
        <v>5490</v>
      </c>
      <c r="G28" s="270"/>
      <c r="H28" s="185"/>
      <c r="I28" s="185"/>
      <c r="J28" s="185"/>
      <c r="K28" s="22"/>
      <c r="L28" s="271">
        <f t="shared" si="11"/>
        <v>0</v>
      </c>
      <c r="M28" s="252">
        <f t="shared" si="12"/>
        <v>0</v>
      </c>
      <c r="N28" s="252">
        <f t="shared" si="12"/>
        <v>0</v>
      </c>
      <c r="O28" s="252">
        <f t="shared" si="12"/>
        <v>0</v>
      </c>
      <c r="P28" s="254">
        <f t="shared" si="13"/>
        <v>0</v>
      </c>
      <c r="Q28" s="255"/>
      <c r="R28" s="256">
        <f t="shared" si="14"/>
        <v>0</v>
      </c>
      <c r="S28" s="272" t="str">
        <f t="shared" si="9"/>
        <v/>
      </c>
      <c r="T28" s="258">
        <f t="shared" si="15"/>
        <v>0</v>
      </c>
      <c r="U28" s="273" t="str">
        <f t="shared" si="10"/>
        <v/>
      </c>
    </row>
    <row r="29" spans="2:21" hidden="1" outlineLevel="1" x14ac:dyDescent="0.3">
      <c r="F29" s="260"/>
      <c r="G29" s="270"/>
      <c r="H29" s="185"/>
      <c r="I29" s="185"/>
      <c r="J29" s="185"/>
      <c r="K29" s="22"/>
      <c r="L29" s="271">
        <f t="shared" si="11"/>
        <v>0</v>
      </c>
      <c r="M29" s="252">
        <f t="shared" si="12"/>
        <v>0</v>
      </c>
      <c r="N29" s="252">
        <f t="shared" si="12"/>
        <v>0</v>
      </c>
      <c r="O29" s="252">
        <f t="shared" si="12"/>
        <v>0</v>
      </c>
      <c r="P29" s="254">
        <f t="shared" si="13"/>
        <v>0</v>
      </c>
      <c r="Q29" s="255"/>
      <c r="R29" s="256">
        <f t="shared" si="14"/>
        <v>0</v>
      </c>
      <c r="S29" s="272" t="str">
        <f t="shared" si="9"/>
        <v/>
      </c>
      <c r="T29" s="258">
        <f t="shared" si="15"/>
        <v>0</v>
      </c>
      <c r="U29" s="259"/>
    </row>
    <row r="30" spans="2:21" hidden="1" outlineLevel="1" x14ac:dyDescent="0.3">
      <c r="F30" s="260"/>
      <c r="G30" s="270"/>
      <c r="H30" s="185"/>
      <c r="I30" s="185"/>
      <c r="J30" s="185"/>
      <c r="K30" s="22"/>
      <c r="L30" s="271">
        <f t="shared" si="11"/>
        <v>0</v>
      </c>
      <c r="M30" s="252">
        <f t="shared" si="12"/>
        <v>0</v>
      </c>
      <c r="N30" s="252">
        <f t="shared" si="12"/>
        <v>0</v>
      </c>
      <c r="O30" s="252">
        <f t="shared" si="12"/>
        <v>0</v>
      </c>
      <c r="P30" s="254">
        <f t="shared" si="13"/>
        <v>0</v>
      </c>
      <c r="Q30" s="255"/>
      <c r="R30" s="256">
        <f t="shared" si="14"/>
        <v>0</v>
      </c>
      <c r="S30" s="272" t="str">
        <f t="shared" si="9"/>
        <v/>
      </c>
      <c r="T30" s="258">
        <f t="shared" si="15"/>
        <v>0</v>
      </c>
      <c r="U30" s="259"/>
    </row>
    <row r="31" spans="2:21" hidden="1" outlineLevel="1" x14ac:dyDescent="0.3">
      <c r="F31" s="260"/>
      <c r="G31" s="270"/>
      <c r="H31" s="185"/>
      <c r="I31" s="185"/>
      <c r="J31" s="185"/>
      <c r="K31" s="22"/>
      <c r="L31" s="271"/>
      <c r="M31" s="252"/>
      <c r="N31" s="252"/>
      <c r="O31" s="252"/>
      <c r="P31" s="254"/>
      <c r="Q31" s="255"/>
      <c r="R31" s="256">
        <f t="shared" si="14"/>
        <v>0</v>
      </c>
      <c r="S31" s="272" t="str">
        <f t="shared" si="9"/>
        <v/>
      </c>
      <c r="T31" s="258">
        <f t="shared" si="15"/>
        <v>0</v>
      </c>
      <c r="U31" s="259"/>
    </row>
    <row r="32" spans="2:21" hidden="1" outlineLevel="1" x14ac:dyDescent="0.3">
      <c r="F32" s="260"/>
      <c r="G32" s="270"/>
      <c r="H32" s="185"/>
      <c r="I32" s="185"/>
      <c r="J32" s="185"/>
      <c r="K32" s="22"/>
      <c r="L32" s="271"/>
      <c r="M32" s="252"/>
      <c r="N32" s="252"/>
      <c r="O32" s="252"/>
      <c r="P32" s="254"/>
      <c r="Q32" s="255"/>
      <c r="R32" s="256"/>
      <c r="S32" s="257"/>
      <c r="T32" s="258"/>
      <c r="U32" s="259"/>
    </row>
    <row r="33" spans="1:21" hidden="1" outlineLevel="1" x14ac:dyDescent="0.3">
      <c r="F33" s="260"/>
      <c r="G33" s="270"/>
      <c r="H33" s="185"/>
      <c r="I33" s="185"/>
      <c r="J33" s="185"/>
      <c r="K33" s="22"/>
      <c r="L33" s="271"/>
      <c r="M33" s="252"/>
      <c r="N33" s="252"/>
      <c r="O33" s="252"/>
      <c r="P33" s="254"/>
      <c r="Q33" s="255"/>
      <c r="R33" s="256"/>
      <c r="S33" s="257"/>
      <c r="T33" s="258"/>
      <c r="U33" s="259"/>
    </row>
    <row r="34" spans="1:21" collapsed="1" x14ac:dyDescent="0.3">
      <c r="B34" s="222" t="s">
        <v>294</v>
      </c>
      <c r="F34" s="260"/>
      <c r="G34" s="261">
        <f>SUM(G35:G43)</f>
        <v>0</v>
      </c>
      <c r="H34" s="186">
        <f>SUM(H35:H43)</f>
        <v>0</v>
      </c>
      <c r="I34" s="186">
        <f>SUM(I35:I43)</f>
        <v>0</v>
      </c>
      <c r="J34" s="186">
        <f>SUM(J35:J43)</f>
        <v>0</v>
      </c>
      <c r="K34" s="45">
        <f>SUM(K35:K43)</f>
        <v>0</v>
      </c>
      <c r="L34" s="263">
        <f t="shared" ref="L34:R34" si="16">SUM(L35:L43)</f>
        <v>0</v>
      </c>
      <c r="M34" s="262">
        <f t="shared" si="16"/>
        <v>0</v>
      </c>
      <c r="N34" s="262">
        <f t="shared" si="16"/>
        <v>0</v>
      </c>
      <c r="O34" s="262">
        <f t="shared" si="16"/>
        <v>0</v>
      </c>
      <c r="P34" s="264">
        <f t="shared" si="16"/>
        <v>0</v>
      </c>
      <c r="Q34" s="265">
        <f>SUM(Q35:Q43)</f>
        <v>0</v>
      </c>
      <c r="R34" s="266">
        <f t="shared" si="16"/>
        <v>0</v>
      </c>
      <c r="S34" s="276" t="str">
        <f>IF(Q34=0,"",P34/Q34)</f>
        <v/>
      </c>
      <c r="T34" s="268">
        <f>SUM(T35:T43)</f>
        <v>0</v>
      </c>
      <c r="U34" s="277" t="str">
        <f>IF(G34=0,"",P34/G34)</f>
        <v/>
      </c>
    </row>
    <row r="35" spans="1:21" hidden="1" outlineLevel="1" x14ac:dyDescent="0.3">
      <c r="C35" s="220" t="s">
        <v>295</v>
      </c>
      <c r="F35" s="260"/>
      <c r="G35" s="270"/>
      <c r="H35" s="187"/>
      <c r="I35" s="185"/>
      <c r="J35" s="185"/>
      <c r="K35" s="22"/>
      <c r="L35" s="271">
        <f>+H35</f>
        <v>0</v>
      </c>
      <c r="M35" s="252">
        <f t="shared" ref="M35:O36" si="17">IF(I35=0,0,I35-H35)</f>
        <v>0</v>
      </c>
      <c r="N35" s="252">
        <f t="shared" si="17"/>
        <v>0</v>
      </c>
      <c r="O35" s="252">
        <f t="shared" si="17"/>
        <v>0</v>
      </c>
      <c r="P35" s="254">
        <f>SUM(L35:O35)</f>
        <v>0</v>
      </c>
      <c r="Q35" s="255"/>
      <c r="R35" s="256">
        <f>P35-Q35</f>
        <v>0</v>
      </c>
      <c r="S35" s="278" t="str">
        <f>IF(Q35=0,"",P35/Q35)</f>
        <v/>
      </c>
      <c r="T35" s="258">
        <f>P35-G35</f>
        <v>0</v>
      </c>
      <c r="U35" s="275" t="str">
        <f>IF(G35=0,"",P35/G35)</f>
        <v/>
      </c>
    </row>
    <row r="36" spans="1:21" hidden="1" outlineLevel="1" x14ac:dyDescent="0.3">
      <c r="C36" s="220" t="s">
        <v>399</v>
      </c>
      <c r="F36" s="260"/>
      <c r="G36" s="270"/>
      <c r="H36" s="187"/>
      <c r="I36" s="185"/>
      <c r="J36" s="185"/>
      <c r="K36" s="22"/>
      <c r="L36" s="271">
        <f>+H36</f>
        <v>0</v>
      </c>
      <c r="M36" s="252">
        <f t="shared" si="17"/>
        <v>0</v>
      </c>
      <c r="N36" s="252">
        <f t="shared" si="17"/>
        <v>0</v>
      </c>
      <c r="O36" s="252">
        <f t="shared" si="17"/>
        <v>0</v>
      </c>
      <c r="P36" s="254">
        <f>SUM(L36:O36)</f>
        <v>0</v>
      </c>
      <c r="Q36" s="279"/>
      <c r="R36" s="256">
        <f>P36-Q36</f>
        <v>0</v>
      </c>
      <c r="S36" s="278" t="str">
        <f>IF(Q36=0,"",P36/Q36)</f>
        <v/>
      </c>
      <c r="T36" s="258">
        <f>P36-G36</f>
        <v>0</v>
      </c>
      <c r="U36" s="275" t="str">
        <f>IF(G36=0,"",P36/G36)</f>
        <v/>
      </c>
    </row>
    <row r="37" spans="1:21" hidden="1" outlineLevel="1" x14ac:dyDescent="0.3">
      <c r="C37" s="220" t="s">
        <v>290</v>
      </c>
      <c r="F37" s="260" t="s">
        <v>291</v>
      </c>
      <c r="G37" s="270"/>
      <c r="H37" s="187"/>
      <c r="I37" s="185"/>
      <c r="J37" s="185"/>
      <c r="K37" s="22"/>
      <c r="L37" s="271"/>
      <c r="M37" s="252"/>
      <c r="N37" s="252"/>
      <c r="O37" s="252"/>
      <c r="P37" s="254"/>
      <c r="Q37" s="255"/>
      <c r="R37" s="256"/>
      <c r="S37" s="278"/>
      <c r="T37" s="258"/>
      <c r="U37" s="275"/>
    </row>
    <row r="38" spans="1:21" hidden="1" outlineLevel="1" x14ac:dyDescent="0.3">
      <c r="C38" s="220" t="s">
        <v>388</v>
      </c>
      <c r="F38" s="260" t="s">
        <v>389</v>
      </c>
      <c r="G38" s="270"/>
      <c r="H38" s="187"/>
      <c r="I38" s="185"/>
      <c r="J38" s="185"/>
      <c r="K38" s="22"/>
      <c r="L38" s="271">
        <f>+H38</f>
        <v>0</v>
      </c>
      <c r="M38" s="252">
        <f t="shared" ref="M38:O42" si="18">IF(I38=0,0,I38-H38)</f>
        <v>0</v>
      </c>
      <c r="N38" s="252">
        <f t="shared" si="18"/>
        <v>0</v>
      </c>
      <c r="O38" s="252">
        <f t="shared" si="18"/>
        <v>0</v>
      </c>
      <c r="P38" s="254">
        <f>SUM(L38:O38)</f>
        <v>0</v>
      </c>
      <c r="Q38" s="255"/>
      <c r="R38" s="256">
        <f t="shared" ref="R38:R43" si="19">P38-Q38</f>
        <v>0</v>
      </c>
      <c r="S38" s="278" t="str">
        <f t="shared" ref="S38:S43" si="20">IF(Q38=0,"",P38/Q38)</f>
        <v/>
      </c>
      <c r="T38" s="258">
        <f t="shared" ref="T38:T43" si="21">P38-G38</f>
        <v>0</v>
      </c>
      <c r="U38" s="275" t="str">
        <f t="shared" ref="U38:U43" si="22">IF(G38=0,"",P38/G38)</f>
        <v/>
      </c>
    </row>
    <row r="39" spans="1:21" hidden="1" outlineLevel="1" x14ac:dyDescent="0.3">
      <c r="C39" s="220" t="s">
        <v>400</v>
      </c>
      <c r="F39" s="260"/>
      <c r="G39" s="270"/>
      <c r="H39" s="187"/>
      <c r="I39" s="185"/>
      <c r="J39" s="185"/>
      <c r="K39" s="22"/>
      <c r="L39" s="271">
        <f>+H39</f>
        <v>0</v>
      </c>
      <c r="M39" s="252">
        <f t="shared" si="18"/>
        <v>0</v>
      </c>
      <c r="N39" s="252">
        <f t="shared" si="18"/>
        <v>0</v>
      </c>
      <c r="O39" s="252">
        <f t="shared" si="18"/>
        <v>0</v>
      </c>
      <c r="P39" s="254">
        <f>SUM(L39:O39)</f>
        <v>0</v>
      </c>
      <c r="Q39" s="255"/>
      <c r="R39" s="256">
        <f t="shared" si="19"/>
        <v>0</v>
      </c>
      <c r="S39" s="278" t="str">
        <f t="shared" si="20"/>
        <v/>
      </c>
      <c r="T39" s="258">
        <f t="shared" si="21"/>
        <v>0</v>
      </c>
      <c r="U39" s="275" t="str">
        <f t="shared" si="22"/>
        <v/>
      </c>
    </row>
    <row r="40" spans="1:21" hidden="1" outlineLevel="1" x14ac:dyDescent="0.3">
      <c r="C40" s="220" t="s">
        <v>393</v>
      </c>
      <c r="F40" s="260">
        <v>5490</v>
      </c>
      <c r="G40" s="270"/>
      <c r="H40" s="185"/>
      <c r="I40" s="185"/>
      <c r="J40" s="185"/>
      <c r="K40" s="22"/>
      <c r="L40" s="271">
        <f>+H40</f>
        <v>0</v>
      </c>
      <c r="M40" s="252">
        <f t="shared" si="18"/>
        <v>0</v>
      </c>
      <c r="N40" s="252">
        <f t="shared" si="18"/>
        <v>0</v>
      </c>
      <c r="O40" s="252">
        <f t="shared" si="18"/>
        <v>0</v>
      </c>
      <c r="P40" s="254">
        <f>SUM(L40:O40)</f>
        <v>0</v>
      </c>
      <c r="Q40" s="255"/>
      <c r="R40" s="256">
        <f t="shared" si="19"/>
        <v>0</v>
      </c>
      <c r="S40" s="278" t="str">
        <f t="shared" si="20"/>
        <v/>
      </c>
      <c r="T40" s="258">
        <f t="shared" si="21"/>
        <v>0</v>
      </c>
      <c r="U40" s="275" t="str">
        <f t="shared" si="22"/>
        <v/>
      </c>
    </row>
    <row r="41" spans="1:21" hidden="1" outlineLevel="1" x14ac:dyDescent="0.3">
      <c r="F41" s="260"/>
      <c r="G41" s="270"/>
      <c r="H41" s="185"/>
      <c r="I41" s="185"/>
      <c r="J41" s="185"/>
      <c r="K41" s="22"/>
      <c r="L41" s="271">
        <f>+H41</f>
        <v>0</v>
      </c>
      <c r="M41" s="252">
        <f t="shared" si="18"/>
        <v>0</v>
      </c>
      <c r="N41" s="252">
        <f t="shared" si="18"/>
        <v>0</v>
      </c>
      <c r="O41" s="252">
        <f t="shared" si="18"/>
        <v>0</v>
      </c>
      <c r="P41" s="254">
        <f>SUM(L41:O41)</f>
        <v>0</v>
      </c>
      <c r="Q41" s="255"/>
      <c r="R41" s="256">
        <f t="shared" si="19"/>
        <v>0</v>
      </c>
      <c r="S41" s="278" t="str">
        <f t="shared" si="20"/>
        <v/>
      </c>
      <c r="T41" s="258">
        <f t="shared" si="21"/>
        <v>0</v>
      </c>
      <c r="U41" s="275" t="str">
        <f t="shared" si="22"/>
        <v/>
      </c>
    </row>
    <row r="42" spans="1:21" hidden="1" outlineLevel="1" x14ac:dyDescent="0.3">
      <c r="F42" s="260"/>
      <c r="G42" s="270"/>
      <c r="H42" s="185"/>
      <c r="I42" s="185"/>
      <c r="J42" s="185"/>
      <c r="K42" s="22"/>
      <c r="L42" s="271">
        <f>+H42</f>
        <v>0</v>
      </c>
      <c r="M42" s="252">
        <f t="shared" si="18"/>
        <v>0</v>
      </c>
      <c r="N42" s="252">
        <f t="shared" si="18"/>
        <v>0</v>
      </c>
      <c r="O42" s="252">
        <f t="shared" si="18"/>
        <v>0</v>
      </c>
      <c r="P42" s="254">
        <f>SUM(L42:O42)</f>
        <v>0</v>
      </c>
      <c r="Q42" s="255"/>
      <c r="R42" s="256">
        <f t="shared" si="19"/>
        <v>0</v>
      </c>
      <c r="S42" s="278" t="str">
        <f t="shared" si="20"/>
        <v/>
      </c>
      <c r="T42" s="258">
        <f t="shared" si="21"/>
        <v>0</v>
      </c>
      <c r="U42" s="275" t="str">
        <f t="shared" si="22"/>
        <v/>
      </c>
    </row>
    <row r="43" spans="1:21" hidden="1" outlineLevel="1" x14ac:dyDescent="0.3">
      <c r="F43" s="260"/>
      <c r="G43" s="270"/>
      <c r="H43" s="185"/>
      <c r="I43" s="185"/>
      <c r="J43" s="185"/>
      <c r="K43" s="22"/>
      <c r="L43" s="271"/>
      <c r="M43" s="252"/>
      <c r="N43" s="252"/>
      <c r="O43" s="252"/>
      <c r="P43" s="254"/>
      <c r="Q43" s="255"/>
      <c r="R43" s="256">
        <f t="shared" si="19"/>
        <v>0</v>
      </c>
      <c r="S43" s="278" t="str">
        <f t="shared" si="20"/>
        <v/>
      </c>
      <c r="T43" s="258">
        <f t="shared" si="21"/>
        <v>0</v>
      </c>
      <c r="U43" s="275" t="str">
        <f t="shared" si="22"/>
        <v/>
      </c>
    </row>
    <row r="44" spans="1:21" hidden="1" outlineLevel="1" x14ac:dyDescent="0.3">
      <c r="F44" s="260"/>
      <c r="G44" s="270"/>
      <c r="H44" s="185"/>
      <c r="I44" s="185"/>
      <c r="J44" s="185"/>
      <c r="K44" s="22"/>
      <c r="L44" s="271"/>
      <c r="M44" s="252"/>
      <c r="N44" s="252"/>
      <c r="O44" s="252"/>
      <c r="P44" s="254"/>
      <c r="Q44" s="255"/>
      <c r="R44" s="256"/>
      <c r="S44" s="257"/>
      <c r="T44" s="258"/>
      <c r="U44" s="259"/>
    </row>
    <row r="45" spans="1:21" collapsed="1" x14ac:dyDescent="0.3">
      <c r="A45" s="222" t="s">
        <v>401</v>
      </c>
      <c r="F45" s="260"/>
      <c r="G45" s="280">
        <f t="shared" ref="G45:Q45" si="23">+G8+G20+G34</f>
        <v>53696</v>
      </c>
      <c r="H45" s="188">
        <f t="shared" si="23"/>
        <v>8001.5</v>
      </c>
      <c r="I45" s="188">
        <f t="shared" si="23"/>
        <v>22632.95</v>
      </c>
      <c r="J45" s="188">
        <f t="shared" si="23"/>
        <v>30874.91</v>
      </c>
      <c r="K45" s="53">
        <f t="shared" si="23"/>
        <v>41567.78</v>
      </c>
      <c r="L45" s="282">
        <f t="shared" si="23"/>
        <v>8001.5</v>
      </c>
      <c r="M45" s="281">
        <f t="shared" si="23"/>
        <v>14631.45</v>
      </c>
      <c r="N45" s="281">
        <f t="shared" si="23"/>
        <v>8241.9600000000009</v>
      </c>
      <c r="O45" s="281">
        <f t="shared" si="23"/>
        <v>10692.869999999999</v>
      </c>
      <c r="P45" s="283">
        <f t="shared" si="23"/>
        <v>41567.78</v>
      </c>
      <c r="Q45" s="284">
        <f t="shared" si="23"/>
        <v>53600.1</v>
      </c>
      <c r="R45" s="285">
        <f>R8+R20+R34</f>
        <v>-12032.32</v>
      </c>
      <c r="S45" s="286">
        <f>IF(Q45=0,"",P45/Q45)</f>
        <v>0.77551683672231952</v>
      </c>
      <c r="T45" s="287">
        <f>T8+T20+T34</f>
        <v>-12128.220000000001</v>
      </c>
      <c r="U45" s="288">
        <f>IF(G45=0,"",P45/G45)</f>
        <v>0.77413177890345652</v>
      </c>
    </row>
    <row r="46" spans="1:21" x14ac:dyDescent="0.3">
      <c r="F46" s="260"/>
      <c r="G46" s="270"/>
      <c r="H46" s="185"/>
      <c r="I46" s="185"/>
      <c r="J46" s="185"/>
      <c r="K46" s="22"/>
      <c r="L46" s="271"/>
      <c r="M46" s="252"/>
      <c r="N46" s="252"/>
      <c r="O46" s="252"/>
      <c r="P46" s="254"/>
      <c r="Q46" s="255"/>
      <c r="R46" s="256"/>
      <c r="S46" s="257"/>
      <c r="T46" s="258"/>
      <c r="U46" s="259"/>
    </row>
    <row r="47" spans="1:21" x14ac:dyDescent="0.3">
      <c r="A47" s="222" t="s">
        <v>402</v>
      </c>
      <c r="F47" s="260"/>
      <c r="G47" s="270"/>
      <c r="H47" s="185"/>
      <c r="I47" s="185"/>
      <c r="J47" s="185"/>
      <c r="K47" s="22"/>
      <c r="L47" s="271"/>
      <c r="M47" s="252"/>
      <c r="N47" s="252"/>
      <c r="O47" s="252"/>
      <c r="P47" s="254"/>
      <c r="Q47" s="255"/>
      <c r="R47" s="256"/>
      <c r="S47" s="257"/>
      <c r="T47" s="258"/>
      <c r="U47" s="259"/>
    </row>
    <row r="48" spans="1:21" outlineLevel="1" x14ac:dyDescent="0.3">
      <c r="B48" s="220" t="s">
        <v>298</v>
      </c>
      <c r="F48" s="260"/>
      <c r="G48" s="270">
        <v>4963</v>
      </c>
      <c r="H48" s="185">
        <v>1458</v>
      </c>
      <c r="I48" s="185">
        <v>2227.91</v>
      </c>
      <c r="J48" s="185">
        <v>3256.16</v>
      </c>
      <c r="K48" s="22">
        <f>452.79+4908</f>
        <v>5360.79</v>
      </c>
      <c r="L48" s="271">
        <f t="shared" ref="L48:L70" si="24">+H48</f>
        <v>1458</v>
      </c>
      <c r="M48" s="252">
        <f t="shared" ref="M48:O70" si="25">IF(I48=0,0,I48-H48)</f>
        <v>769.90999999999985</v>
      </c>
      <c r="N48" s="252">
        <f t="shared" si="25"/>
        <v>1028.25</v>
      </c>
      <c r="O48" s="252">
        <f t="shared" si="25"/>
        <v>2104.63</v>
      </c>
      <c r="P48" s="254">
        <f t="shared" ref="P48:P70" si="26">SUM(L48:O48)</f>
        <v>5360.79</v>
      </c>
      <c r="Q48" s="255">
        <v>5000</v>
      </c>
      <c r="R48" s="256">
        <f t="shared" ref="R48:R70" si="27">P48-Q48</f>
        <v>360.78999999999996</v>
      </c>
      <c r="S48" s="278">
        <f t="shared" ref="S48:S70" si="28">IF(Q48=0,"",P48/Q48)</f>
        <v>1.0721579999999999</v>
      </c>
      <c r="T48" s="258">
        <f t="shared" ref="T48:T70" si="29">P48-G48</f>
        <v>397.78999999999996</v>
      </c>
      <c r="U48" s="275">
        <f t="shared" ref="U48:U70" si="30">IF(G48=0,"",P48/G48)</f>
        <v>1.0801511182752368</v>
      </c>
    </row>
    <row r="49" spans="2:21" outlineLevel="1" x14ac:dyDescent="0.3">
      <c r="B49" s="220" t="s">
        <v>299</v>
      </c>
      <c r="F49" s="260" t="s">
        <v>300</v>
      </c>
      <c r="G49" s="270">
        <v>0</v>
      </c>
      <c r="H49" s="185"/>
      <c r="I49" s="185"/>
      <c r="J49" s="185"/>
      <c r="K49" s="22"/>
      <c r="L49" s="271">
        <f t="shared" si="24"/>
        <v>0</v>
      </c>
      <c r="M49" s="252">
        <f t="shared" si="25"/>
        <v>0</v>
      </c>
      <c r="N49" s="252">
        <f t="shared" si="25"/>
        <v>0</v>
      </c>
      <c r="O49" s="252">
        <f t="shared" si="25"/>
        <v>0</v>
      </c>
      <c r="P49" s="254">
        <f t="shared" si="26"/>
        <v>0</v>
      </c>
      <c r="Q49" s="255"/>
      <c r="R49" s="256">
        <f t="shared" si="27"/>
        <v>0</v>
      </c>
      <c r="S49" s="278" t="str">
        <f t="shared" si="28"/>
        <v/>
      </c>
      <c r="T49" s="258">
        <f t="shared" si="29"/>
        <v>0</v>
      </c>
      <c r="U49" s="275" t="str">
        <f t="shared" si="30"/>
        <v/>
      </c>
    </row>
    <row r="50" spans="2:21" outlineLevel="1" x14ac:dyDescent="0.3">
      <c r="B50" s="220" t="s">
        <v>301</v>
      </c>
      <c r="F50" s="260"/>
      <c r="G50" s="270">
        <v>0</v>
      </c>
      <c r="H50" s="187"/>
      <c r="I50" s="185"/>
      <c r="J50" s="185"/>
      <c r="K50" s="22"/>
      <c r="L50" s="271">
        <f t="shared" si="24"/>
        <v>0</v>
      </c>
      <c r="M50" s="252">
        <f t="shared" si="25"/>
        <v>0</v>
      </c>
      <c r="N50" s="252">
        <f t="shared" si="25"/>
        <v>0</v>
      </c>
      <c r="O50" s="252">
        <f t="shared" si="25"/>
        <v>0</v>
      </c>
      <c r="P50" s="254">
        <f t="shared" si="26"/>
        <v>0</v>
      </c>
      <c r="Q50" s="255"/>
      <c r="R50" s="256">
        <f t="shared" si="27"/>
        <v>0</v>
      </c>
      <c r="S50" s="278" t="str">
        <f t="shared" si="28"/>
        <v/>
      </c>
      <c r="T50" s="258">
        <f t="shared" si="29"/>
        <v>0</v>
      </c>
      <c r="U50" s="275" t="str">
        <f t="shared" si="30"/>
        <v/>
      </c>
    </row>
    <row r="51" spans="2:21" outlineLevel="1" x14ac:dyDescent="0.3">
      <c r="B51" s="220" t="s">
        <v>302</v>
      </c>
      <c r="F51" s="260" t="s">
        <v>303</v>
      </c>
      <c r="G51" s="270">
        <v>3365</v>
      </c>
      <c r="H51" s="187">
        <v>2336</v>
      </c>
      <c r="I51" s="185">
        <f>38.74+2465.5</f>
        <v>2504.2399999999998</v>
      </c>
      <c r="J51" s="185">
        <v>3332</v>
      </c>
      <c r="K51" s="22">
        <v>4070</v>
      </c>
      <c r="L51" s="271">
        <f t="shared" si="24"/>
        <v>2336</v>
      </c>
      <c r="M51" s="252">
        <f t="shared" si="25"/>
        <v>168.23999999999978</v>
      </c>
      <c r="N51" s="252">
        <f t="shared" si="25"/>
        <v>827.76000000000022</v>
      </c>
      <c r="O51" s="252">
        <f t="shared" si="25"/>
        <v>738</v>
      </c>
      <c r="P51" s="254">
        <f t="shared" si="26"/>
        <v>4070</v>
      </c>
      <c r="Q51" s="255">
        <v>3100</v>
      </c>
      <c r="R51" s="256">
        <f t="shared" si="27"/>
        <v>970</v>
      </c>
      <c r="S51" s="278">
        <f t="shared" si="28"/>
        <v>1.3129032258064517</v>
      </c>
      <c r="T51" s="258">
        <f t="shared" si="29"/>
        <v>705</v>
      </c>
      <c r="U51" s="275">
        <f t="shared" si="30"/>
        <v>1.2095096582466567</v>
      </c>
    </row>
    <row r="52" spans="2:21" outlineLevel="1" x14ac:dyDescent="0.3">
      <c r="B52" s="220" t="s">
        <v>304</v>
      </c>
      <c r="E52" s="289" t="s">
        <v>418</v>
      </c>
      <c r="F52" s="260"/>
      <c r="G52" s="270">
        <f>+G149</f>
        <v>5850</v>
      </c>
      <c r="H52" s="187">
        <f>H149</f>
        <v>1811</v>
      </c>
      <c r="I52" s="185">
        <f>I149</f>
        <v>3227.4900000000002</v>
      </c>
      <c r="J52" s="185">
        <f>J149</f>
        <v>4932.2199999999993</v>
      </c>
      <c r="K52" s="22">
        <f>K149</f>
        <v>6972</v>
      </c>
      <c r="L52" s="271">
        <f t="shared" si="24"/>
        <v>1811</v>
      </c>
      <c r="M52" s="252">
        <f t="shared" si="25"/>
        <v>1416.4900000000002</v>
      </c>
      <c r="N52" s="252">
        <f t="shared" si="25"/>
        <v>1704.7299999999991</v>
      </c>
      <c r="O52" s="252">
        <f t="shared" si="25"/>
        <v>2039.7800000000007</v>
      </c>
      <c r="P52" s="254">
        <f t="shared" si="26"/>
        <v>6972</v>
      </c>
      <c r="Q52" s="255">
        <f>Q149</f>
        <v>6250</v>
      </c>
      <c r="R52" s="256">
        <f t="shared" si="27"/>
        <v>722</v>
      </c>
      <c r="S52" s="278">
        <f t="shared" si="28"/>
        <v>1.1155200000000001</v>
      </c>
      <c r="T52" s="258">
        <f t="shared" si="29"/>
        <v>1122</v>
      </c>
      <c r="U52" s="275">
        <f t="shared" si="30"/>
        <v>1.1917948717948719</v>
      </c>
    </row>
    <row r="53" spans="2:21" outlineLevel="1" x14ac:dyDescent="0.3">
      <c r="B53" s="220" t="s">
        <v>305</v>
      </c>
      <c r="E53" s="289" t="s">
        <v>418</v>
      </c>
      <c r="F53" s="260"/>
      <c r="G53" s="270">
        <f>+G158</f>
        <v>2654</v>
      </c>
      <c r="H53" s="187">
        <f>H158</f>
        <v>1179</v>
      </c>
      <c r="I53" s="185">
        <f>I158</f>
        <v>1845.5700000000002</v>
      </c>
      <c r="J53" s="185">
        <f>J158</f>
        <v>1980.22</v>
      </c>
      <c r="K53" s="22">
        <f>K158</f>
        <v>2741.71</v>
      </c>
      <c r="L53" s="271">
        <f t="shared" si="24"/>
        <v>1179</v>
      </c>
      <c r="M53" s="252">
        <f t="shared" si="25"/>
        <v>666.57000000000016</v>
      </c>
      <c r="N53" s="252">
        <f t="shared" si="25"/>
        <v>134.64999999999986</v>
      </c>
      <c r="O53" s="252">
        <f t="shared" si="25"/>
        <v>761.49</v>
      </c>
      <c r="P53" s="254">
        <f t="shared" si="26"/>
        <v>2741.71</v>
      </c>
      <c r="Q53" s="255">
        <f>Q158</f>
        <v>2600</v>
      </c>
      <c r="R53" s="256">
        <f t="shared" si="27"/>
        <v>141.71000000000004</v>
      </c>
      <c r="S53" s="278">
        <f t="shared" si="28"/>
        <v>1.0545038461538461</v>
      </c>
      <c r="T53" s="258">
        <f t="shared" si="29"/>
        <v>87.710000000000036</v>
      </c>
      <c r="U53" s="275">
        <f t="shared" si="30"/>
        <v>1.0330482290881688</v>
      </c>
    </row>
    <row r="54" spans="2:21" outlineLevel="1" x14ac:dyDescent="0.3">
      <c r="B54" s="220" t="s">
        <v>306</v>
      </c>
      <c r="E54" s="289" t="s">
        <v>418</v>
      </c>
      <c r="F54" s="260"/>
      <c r="G54" s="270">
        <v>7933</v>
      </c>
      <c r="H54" s="187">
        <f>H140</f>
        <v>0</v>
      </c>
      <c r="I54" s="185">
        <f>I140</f>
        <v>8234</v>
      </c>
      <c r="J54" s="185">
        <f>J140</f>
        <v>8234</v>
      </c>
      <c r="K54" s="22">
        <f>K140</f>
        <v>8234</v>
      </c>
      <c r="L54" s="271">
        <f t="shared" si="24"/>
        <v>0</v>
      </c>
      <c r="M54" s="252">
        <f t="shared" si="25"/>
        <v>8234</v>
      </c>
      <c r="N54" s="252">
        <f t="shared" si="25"/>
        <v>0</v>
      </c>
      <c r="O54" s="252">
        <f t="shared" si="25"/>
        <v>0</v>
      </c>
      <c r="P54" s="254">
        <f t="shared" si="26"/>
        <v>8234</v>
      </c>
      <c r="Q54" s="255">
        <f>Q140</f>
        <v>7934</v>
      </c>
      <c r="R54" s="256">
        <f t="shared" si="27"/>
        <v>300</v>
      </c>
      <c r="S54" s="278">
        <f t="shared" si="28"/>
        <v>1.03781194857575</v>
      </c>
      <c r="T54" s="258">
        <f t="shared" si="29"/>
        <v>301</v>
      </c>
      <c r="U54" s="275">
        <f t="shared" si="30"/>
        <v>1.0379427707046514</v>
      </c>
    </row>
    <row r="55" spans="2:21" outlineLevel="1" x14ac:dyDescent="0.3">
      <c r="B55" s="220" t="s">
        <v>307</v>
      </c>
      <c r="F55" s="260"/>
      <c r="G55" s="270">
        <v>1115</v>
      </c>
      <c r="H55" s="187"/>
      <c r="I55" s="185">
        <v>1330</v>
      </c>
      <c r="J55" s="185">
        <v>1330</v>
      </c>
      <c r="K55" s="22">
        <v>1330</v>
      </c>
      <c r="L55" s="271">
        <f t="shared" si="24"/>
        <v>0</v>
      </c>
      <c r="M55" s="252">
        <f t="shared" si="25"/>
        <v>1330</v>
      </c>
      <c r="N55" s="252">
        <f t="shared" si="25"/>
        <v>0</v>
      </c>
      <c r="O55" s="252">
        <f t="shared" si="25"/>
        <v>0</v>
      </c>
      <c r="P55" s="254">
        <f t="shared" si="26"/>
        <v>1330</v>
      </c>
      <c r="Q55" s="255">
        <v>1200</v>
      </c>
      <c r="R55" s="256">
        <f t="shared" si="27"/>
        <v>130</v>
      </c>
      <c r="S55" s="278">
        <f t="shared" si="28"/>
        <v>1.1083333333333334</v>
      </c>
      <c r="T55" s="258">
        <f t="shared" si="29"/>
        <v>215</v>
      </c>
      <c r="U55" s="275">
        <f t="shared" si="30"/>
        <v>1.1928251121076232</v>
      </c>
    </row>
    <row r="56" spans="2:21" outlineLevel="1" x14ac:dyDescent="0.3">
      <c r="B56" s="220" t="s">
        <v>157</v>
      </c>
      <c r="F56" s="260">
        <v>8222</v>
      </c>
      <c r="G56" s="270">
        <v>2163</v>
      </c>
      <c r="H56" s="187">
        <v>545</v>
      </c>
      <c r="I56" s="185">
        <v>1087.2</v>
      </c>
      <c r="J56" s="185">
        <v>1472.25</v>
      </c>
      <c r="K56" s="22">
        <v>2238</v>
      </c>
      <c r="L56" s="271">
        <f t="shared" si="24"/>
        <v>545</v>
      </c>
      <c r="M56" s="252">
        <f t="shared" si="25"/>
        <v>542.20000000000005</v>
      </c>
      <c r="N56" s="252">
        <f t="shared" si="25"/>
        <v>385.04999999999995</v>
      </c>
      <c r="O56" s="252">
        <f t="shared" si="25"/>
        <v>765.75</v>
      </c>
      <c r="P56" s="254">
        <f t="shared" si="26"/>
        <v>2238</v>
      </c>
      <c r="Q56" s="255">
        <v>2200</v>
      </c>
      <c r="R56" s="256">
        <f t="shared" si="27"/>
        <v>38</v>
      </c>
      <c r="S56" s="278">
        <f t="shared" si="28"/>
        <v>1.0172727272727273</v>
      </c>
      <c r="T56" s="258">
        <f t="shared" si="29"/>
        <v>75</v>
      </c>
      <c r="U56" s="275">
        <f t="shared" si="30"/>
        <v>1.0346740638002774</v>
      </c>
    </row>
    <row r="57" spans="2:21" outlineLevel="1" x14ac:dyDescent="0.3">
      <c r="B57" s="220" t="s">
        <v>158</v>
      </c>
      <c r="F57" s="260">
        <v>8224</v>
      </c>
      <c r="G57" s="270">
        <v>130</v>
      </c>
      <c r="H57" s="187"/>
      <c r="I57" s="185">
        <v>35.22</v>
      </c>
      <c r="J57" s="185">
        <v>35</v>
      </c>
      <c r="K57" s="22">
        <v>35</v>
      </c>
      <c r="L57" s="271">
        <f t="shared" si="24"/>
        <v>0</v>
      </c>
      <c r="M57" s="252">
        <f t="shared" si="25"/>
        <v>35.22</v>
      </c>
      <c r="N57" s="252">
        <f t="shared" si="25"/>
        <v>-0.21999999999999886</v>
      </c>
      <c r="O57" s="252">
        <f t="shared" si="25"/>
        <v>0</v>
      </c>
      <c r="P57" s="254">
        <f t="shared" si="26"/>
        <v>35</v>
      </c>
      <c r="Q57" s="255">
        <v>200</v>
      </c>
      <c r="R57" s="256">
        <f t="shared" si="27"/>
        <v>-165</v>
      </c>
      <c r="S57" s="278">
        <f t="shared" si="28"/>
        <v>0.17499999999999999</v>
      </c>
      <c r="T57" s="258">
        <f t="shared" si="29"/>
        <v>-95</v>
      </c>
      <c r="U57" s="275">
        <f t="shared" si="30"/>
        <v>0.26923076923076922</v>
      </c>
    </row>
    <row r="58" spans="2:21" outlineLevel="1" x14ac:dyDescent="0.3">
      <c r="B58" s="220" t="s">
        <v>159</v>
      </c>
      <c r="F58" s="260">
        <v>8116</v>
      </c>
      <c r="G58" s="270">
        <v>1195</v>
      </c>
      <c r="H58" s="187">
        <v>375</v>
      </c>
      <c r="I58" s="185">
        <v>1031.0999999999999</v>
      </c>
      <c r="J58" s="185">
        <v>1476.34</v>
      </c>
      <c r="K58" s="22">
        <v>1649.44</v>
      </c>
      <c r="L58" s="271">
        <f t="shared" si="24"/>
        <v>375</v>
      </c>
      <c r="M58" s="252">
        <f t="shared" si="25"/>
        <v>656.09999999999991</v>
      </c>
      <c r="N58" s="252">
        <f t="shared" si="25"/>
        <v>445.24</v>
      </c>
      <c r="O58" s="252">
        <f t="shared" si="25"/>
        <v>173.10000000000014</v>
      </c>
      <c r="P58" s="254">
        <f t="shared" si="26"/>
        <v>1649.44</v>
      </c>
      <c r="Q58" s="255">
        <v>1200</v>
      </c>
      <c r="R58" s="256">
        <f t="shared" si="27"/>
        <v>449.44000000000005</v>
      </c>
      <c r="S58" s="278">
        <f t="shared" si="28"/>
        <v>1.3745333333333334</v>
      </c>
      <c r="T58" s="258">
        <f t="shared" si="29"/>
        <v>454.44000000000005</v>
      </c>
      <c r="U58" s="275">
        <f t="shared" si="30"/>
        <v>1.3802845188284518</v>
      </c>
    </row>
    <row r="59" spans="2:21" outlineLevel="1" x14ac:dyDescent="0.3">
      <c r="B59" s="220" t="s">
        <v>160</v>
      </c>
      <c r="F59" s="260">
        <v>8540</v>
      </c>
      <c r="G59" s="270">
        <v>208</v>
      </c>
      <c r="H59" s="187">
        <v>78</v>
      </c>
      <c r="I59" s="185">
        <v>156</v>
      </c>
      <c r="J59" s="185">
        <v>182</v>
      </c>
      <c r="K59" s="22">
        <v>182</v>
      </c>
      <c r="L59" s="271">
        <f t="shared" si="24"/>
        <v>78</v>
      </c>
      <c r="M59" s="252">
        <f t="shared" si="25"/>
        <v>78</v>
      </c>
      <c r="N59" s="252">
        <f t="shared" si="25"/>
        <v>26</v>
      </c>
      <c r="O59" s="252">
        <f t="shared" si="25"/>
        <v>0</v>
      </c>
      <c r="P59" s="254">
        <f t="shared" si="26"/>
        <v>182</v>
      </c>
      <c r="Q59" s="255">
        <v>300</v>
      </c>
      <c r="R59" s="256">
        <f t="shared" si="27"/>
        <v>-118</v>
      </c>
      <c r="S59" s="278">
        <f t="shared" si="28"/>
        <v>0.60666666666666669</v>
      </c>
      <c r="T59" s="258">
        <f t="shared" si="29"/>
        <v>-26</v>
      </c>
      <c r="U59" s="275">
        <f t="shared" si="30"/>
        <v>0.875</v>
      </c>
    </row>
    <row r="60" spans="2:21" outlineLevel="1" x14ac:dyDescent="0.3">
      <c r="B60" s="220" t="s">
        <v>161</v>
      </c>
      <c r="F60" s="260">
        <v>8117</v>
      </c>
      <c r="G60" s="270">
        <v>0</v>
      </c>
      <c r="H60" s="187"/>
      <c r="I60" s="185"/>
      <c r="J60" s="185"/>
      <c r="K60" s="22"/>
      <c r="L60" s="271">
        <f t="shared" si="24"/>
        <v>0</v>
      </c>
      <c r="M60" s="252">
        <f t="shared" si="25"/>
        <v>0</v>
      </c>
      <c r="N60" s="252">
        <f t="shared" si="25"/>
        <v>0</v>
      </c>
      <c r="O60" s="252">
        <f t="shared" si="25"/>
        <v>0</v>
      </c>
      <c r="P60" s="254">
        <f t="shared" si="26"/>
        <v>0</v>
      </c>
      <c r="Q60" s="255"/>
      <c r="R60" s="256">
        <f t="shared" si="27"/>
        <v>0</v>
      </c>
      <c r="S60" s="278" t="str">
        <f t="shared" si="28"/>
        <v/>
      </c>
      <c r="T60" s="258">
        <f t="shared" si="29"/>
        <v>0</v>
      </c>
      <c r="U60" s="275" t="str">
        <f t="shared" si="30"/>
        <v/>
      </c>
    </row>
    <row r="61" spans="2:21" outlineLevel="1" x14ac:dyDescent="0.3">
      <c r="B61" s="220" t="s">
        <v>162</v>
      </c>
      <c r="F61" s="260" t="s">
        <v>163</v>
      </c>
      <c r="G61" s="270">
        <v>0</v>
      </c>
      <c r="H61" s="187"/>
      <c r="I61" s="185"/>
      <c r="J61" s="185"/>
      <c r="K61" s="22"/>
      <c r="L61" s="271">
        <f t="shared" si="24"/>
        <v>0</v>
      </c>
      <c r="M61" s="252">
        <f t="shared" si="25"/>
        <v>0</v>
      </c>
      <c r="N61" s="252">
        <f t="shared" si="25"/>
        <v>0</v>
      </c>
      <c r="O61" s="252">
        <f t="shared" si="25"/>
        <v>0</v>
      </c>
      <c r="P61" s="254">
        <f t="shared" si="26"/>
        <v>0</v>
      </c>
      <c r="Q61" s="255"/>
      <c r="R61" s="256">
        <f t="shared" si="27"/>
        <v>0</v>
      </c>
      <c r="S61" s="278" t="str">
        <f t="shared" si="28"/>
        <v/>
      </c>
      <c r="T61" s="258">
        <f t="shared" si="29"/>
        <v>0</v>
      </c>
      <c r="U61" s="275" t="str">
        <f t="shared" si="30"/>
        <v/>
      </c>
    </row>
    <row r="62" spans="2:21" outlineLevel="1" x14ac:dyDescent="0.3">
      <c r="B62" s="220" t="s">
        <v>164</v>
      </c>
      <c r="F62" s="260">
        <v>8231</v>
      </c>
      <c r="G62" s="270">
        <v>5147</v>
      </c>
      <c r="H62" s="187"/>
      <c r="I62" s="185"/>
      <c r="J62" s="185">
        <v>5494.06</v>
      </c>
      <c r="K62" s="22">
        <v>5494</v>
      </c>
      <c r="L62" s="271">
        <f t="shared" si="24"/>
        <v>0</v>
      </c>
      <c r="M62" s="252">
        <f t="shared" si="25"/>
        <v>0</v>
      </c>
      <c r="N62" s="252">
        <f t="shared" si="25"/>
        <v>5494.06</v>
      </c>
      <c r="O62" s="252">
        <f t="shared" si="25"/>
        <v>-6.0000000000400178E-2</v>
      </c>
      <c r="P62" s="254">
        <f t="shared" si="26"/>
        <v>5494</v>
      </c>
      <c r="Q62" s="255">
        <v>5250</v>
      </c>
      <c r="R62" s="256">
        <f t="shared" si="27"/>
        <v>244</v>
      </c>
      <c r="S62" s="278">
        <f t="shared" si="28"/>
        <v>1.0464761904761906</v>
      </c>
      <c r="T62" s="258">
        <f t="shared" si="29"/>
        <v>347</v>
      </c>
      <c r="U62" s="275">
        <f t="shared" si="30"/>
        <v>1.0674179133475812</v>
      </c>
    </row>
    <row r="63" spans="2:21" outlineLevel="1" x14ac:dyDescent="0.3">
      <c r="B63" s="220" t="s">
        <v>165</v>
      </c>
      <c r="F63" s="260"/>
      <c r="G63" s="270">
        <v>0</v>
      </c>
      <c r="H63" s="187"/>
      <c r="I63" s="185"/>
      <c r="J63" s="185"/>
      <c r="K63" s="22"/>
      <c r="L63" s="271">
        <f t="shared" si="24"/>
        <v>0</v>
      </c>
      <c r="M63" s="252">
        <f t="shared" si="25"/>
        <v>0</v>
      </c>
      <c r="N63" s="252">
        <f t="shared" si="25"/>
        <v>0</v>
      </c>
      <c r="O63" s="252">
        <f t="shared" si="25"/>
        <v>0</v>
      </c>
      <c r="P63" s="254">
        <f t="shared" si="26"/>
        <v>0</v>
      </c>
      <c r="Q63" s="255"/>
      <c r="R63" s="256">
        <f t="shared" si="27"/>
        <v>0</v>
      </c>
      <c r="S63" s="278" t="str">
        <f t="shared" si="28"/>
        <v/>
      </c>
      <c r="T63" s="258">
        <f t="shared" si="29"/>
        <v>0</v>
      </c>
      <c r="U63" s="275" t="str">
        <f t="shared" si="30"/>
        <v/>
      </c>
    </row>
    <row r="64" spans="2:21" outlineLevel="1" x14ac:dyDescent="0.3">
      <c r="B64" s="220" t="s">
        <v>166</v>
      </c>
      <c r="F64" s="260"/>
      <c r="G64" s="270">
        <v>0</v>
      </c>
      <c r="H64" s="187"/>
      <c r="I64" s="185"/>
      <c r="J64" s="185"/>
      <c r="K64" s="22"/>
      <c r="L64" s="271">
        <f t="shared" si="24"/>
        <v>0</v>
      </c>
      <c r="M64" s="252">
        <f t="shared" si="25"/>
        <v>0</v>
      </c>
      <c r="N64" s="252">
        <f t="shared" si="25"/>
        <v>0</v>
      </c>
      <c r="O64" s="252">
        <f t="shared" si="25"/>
        <v>0</v>
      </c>
      <c r="P64" s="254">
        <f t="shared" si="26"/>
        <v>0</v>
      </c>
      <c r="Q64" s="255"/>
      <c r="R64" s="256">
        <f t="shared" si="27"/>
        <v>0</v>
      </c>
      <c r="S64" s="278" t="str">
        <f t="shared" si="28"/>
        <v/>
      </c>
      <c r="T64" s="258">
        <f t="shared" si="29"/>
        <v>0</v>
      </c>
      <c r="U64" s="275" t="str">
        <f t="shared" si="30"/>
        <v/>
      </c>
    </row>
    <row r="65" spans="1:21" outlineLevel="1" x14ac:dyDescent="0.3">
      <c r="B65" s="220" t="s">
        <v>167</v>
      </c>
      <c r="F65" s="260">
        <v>8232</v>
      </c>
      <c r="G65" s="270">
        <v>0</v>
      </c>
      <c r="H65" s="187"/>
      <c r="I65" s="185"/>
      <c r="J65" s="185"/>
      <c r="K65" s="22"/>
      <c r="L65" s="271">
        <f t="shared" si="24"/>
        <v>0</v>
      </c>
      <c r="M65" s="252">
        <f t="shared" si="25"/>
        <v>0</v>
      </c>
      <c r="N65" s="252">
        <f t="shared" si="25"/>
        <v>0</v>
      </c>
      <c r="O65" s="252">
        <f t="shared" si="25"/>
        <v>0</v>
      </c>
      <c r="P65" s="254">
        <f t="shared" si="26"/>
        <v>0</v>
      </c>
      <c r="Q65" s="255"/>
      <c r="R65" s="256">
        <f t="shared" si="27"/>
        <v>0</v>
      </c>
      <c r="S65" s="278" t="str">
        <f t="shared" si="28"/>
        <v/>
      </c>
      <c r="T65" s="258">
        <f t="shared" si="29"/>
        <v>0</v>
      </c>
      <c r="U65" s="275" t="str">
        <f t="shared" si="30"/>
        <v/>
      </c>
    </row>
    <row r="66" spans="1:21" outlineLevel="1" x14ac:dyDescent="0.3">
      <c r="B66" s="220" t="s">
        <v>168</v>
      </c>
      <c r="F66" s="260"/>
      <c r="G66" s="270">
        <v>0</v>
      </c>
      <c r="H66" s="187"/>
      <c r="I66" s="185"/>
      <c r="J66" s="185"/>
      <c r="K66" s="22"/>
      <c r="L66" s="271">
        <f t="shared" si="24"/>
        <v>0</v>
      </c>
      <c r="M66" s="252">
        <f t="shared" si="25"/>
        <v>0</v>
      </c>
      <c r="N66" s="252">
        <f t="shared" si="25"/>
        <v>0</v>
      </c>
      <c r="O66" s="252">
        <f t="shared" si="25"/>
        <v>0</v>
      </c>
      <c r="P66" s="254">
        <f t="shared" si="26"/>
        <v>0</v>
      </c>
      <c r="Q66" s="279"/>
      <c r="R66" s="256">
        <f t="shared" si="27"/>
        <v>0</v>
      </c>
      <c r="S66" s="278" t="str">
        <f t="shared" si="28"/>
        <v/>
      </c>
      <c r="T66" s="258">
        <f t="shared" si="29"/>
        <v>0</v>
      </c>
      <c r="U66" s="275" t="str">
        <f t="shared" si="30"/>
        <v/>
      </c>
    </row>
    <row r="67" spans="1:21" outlineLevel="1" x14ac:dyDescent="0.3">
      <c r="B67" s="220" t="s">
        <v>169</v>
      </c>
      <c r="F67" s="260"/>
      <c r="G67" s="270">
        <v>0</v>
      </c>
      <c r="H67" s="187"/>
      <c r="I67" s="185"/>
      <c r="J67" s="185"/>
      <c r="K67" s="22"/>
      <c r="L67" s="271">
        <f t="shared" si="24"/>
        <v>0</v>
      </c>
      <c r="M67" s="252">
        <f t="shared" si="25"/>
        <v>0</v>
      </c>
      <c r="N67" s="252">
        <f t="shared" si="25"/>
        <v>0</v>
      </c>
      <c r="O67" s="252">
        <f t="shared" si="25"/>
        <v>0</v>
      </c>
      <c r="P67" s="254">
        <f t="shared" si="26"/>
        <v>0</v>
      </c>
      <c r="Q67" s="255"/>
      <c r="R67" s="256">
        <f t="shared" si="27"/>
        <v>0</v>
      </c>
      <c r="S67" s="278" t="str">
        <f t="shared" si="28"/>
        <v/>
      </c>
      <c r="T67" s="258">
        <f t="shared" si="29"/>
        <v>0</v>
      </c>
      <c r="U67" s="275" t="str">
        <f t="shared" si="30"/>
        <v/>
      </c>
    </row>
    <row r="68" spans="1:21" outlineLevel="1" x14ac:dyDescent="0.3">
      <c r="B68" s="220" t="s">
        <v>170</v>
      </c>
      <c r="E68" s="289" t="s">
        <v>418</v>
      </c>
      <c r="F68" s="260"/>
      <c r="G68" s="270">
        <f>+G167</f>
        <v>410</v>
      </c>
      <c r="H68" s="187">
        <f>H167</f>
        <v>166</v>
      </c>
      <c r="I68" s="185">
        <f>I167</f>
        <v>442.85</v>
      </c>
      <c r="J68" s="185">
        <f>J167</f>
        <v>791.6</v>
      </c>
      <c r="K68" s="22">
        <f>K167</f>
        <v>700.39</v>
      </c>
      <c r="L68" s="271">
        <f t="shared" si="24"/>
        <v>166</v>
      </c>
      <c r="M68" s="252">
        <f t="shared" si="25"/>
        <v>276.85000000000002</v>
      </c>
      <c r="N68" s="252">
        <f t="shared" si="25"/>
        <v>348.75</v>
      </c>
      <c r="O68" s="252">
        <f t="shared" si="25"/>
        <v>-91.210000000000036</v>
      </c>
      <c r="P68" s="254">
        <f t="shared" si="26"/>
        <v>700.39</v>
      </c>
      <c r="Q68" s="255">
        <v>400</v>
      </c>
      <c r="R68" s="256">
        <f t="shared" si="27"/>
        <v>300.39</v>
      </c>
      <c r="S68" s="278">
        <f t="shared" si="28"/>
        <v>1.7509749999999999</v>
      </c>
      <c r="T68" s="258">
        <f t="shared" si="29"/>
        <v>290.39</v>
      </c>
      <c r="U68" s="275">
        <f t="shared" si="30"/>
        <v>1.7082682926829269</v>
      </c>
    </row>
    <row r="69" spans="1:21" outlineLevel="1" x14ac:dyDescent="0.3">
      <c r="B69" s="220" t="s">
        <v>171</v>
      </c>
      <c r="F69" s="260"/>
      <c r="G69" s="270">
        <v>0</v>
      </c>
      <c r="H69" s="187"/>
      <c r="I69" s="185"/>
      <c r="J69" s="185"/>
      <c r="K69" s="22"/>
      <c r="L69" s="271">
        <f t="shared" si="24"/>
        <v>0</v>
      </c>
      <c r="M69" s="252">
        <f t="shared" si="25"/>
        <v>0</v>
      </c>
      <c r="N69" s="252">
        <f t="shared" si="25"/>
        <v>0</v>
      </c>
      <c r="O69" s="252">
        <f t="shared" si="25"/>
        <v>0</v>
      </c>
      <c r="P69" s="254">
        <f t="shared" si="26"/>
        <v>0</v>
      </c>
      <c r="Q69" s="255"/>
      <c r="R69" s="256">
        <f t="shared" si="27"/>
        <v>0</v>
      </c>
      <c r="S69" s="278" t="str">
        <f t="shared" si="28"/>
        <v/>
      </c>
      <c r="T69" s="258">
        <f t="shared" si="29"/>
        <v>0</v>
      </c>
      <c r="U69" s="275" t="str">
        <f t="shared" si="30"/>
        <v/>
      </c>
    </row>
    <row r="70" spans="1:21" outlineLevel="1" x14ac:dyDescent="0.3">
      <c r="B70" s="220" t="s">
        <v>172</v>
      </c>
      <c r="F70" s="260"/>
      <c r="G70" s="270">
        <v>0</v>
      </c>
      <c r="H70" s="187"/>
      <c r="I70" s="185"/>
      <c r="J70" s="185"/>
      <c r="K70" s="22"/>
      <c r="L70" s="271">
        <f t="shared" si="24"/>
        <v>0</v>
      </c>
      <c r="M70" s="252">
        <f t="shared" si="25"/>
        <v>0</v>
      </c>
      <c r="N70" s="252">
        <f t="shared" si="25"/>
        <v>0</v>
      </c>
      <c r="O70" s="252">
        <f t="shared" si="25"/>
        <v>0</v>
      </c>
      <c r="P70" s="254">
        <f t="shared" si="26"/>
        <v>0</v>
      </c>
      <c r="Q70" s="255"/>
      <c r="R70" s="256">
        <f t="shared" si="27"/>
        <v>0</v>
      </c>
      <c r="S70" s="278" t="str">
        <f t="shared" si="28"/>
        <v/>
      </c>
      <c r="T70" s="258">
        <f t="shared" si="29"/>
        <v>0</v>
      </c>
      <c r="U70" s="275" t="str">
        <f t="shared" si="30"/>
        <v/>
      </c>
    </row>
    <row r="71" spans="1:21" outlineLevel="1" x14ac:dyDescent="0.3">
      <c r="F71" s="260"/>
      <c r="G71" s="270"/>
      <c r="H71" s="187"/>
      <c r="I71" s="185"/>
      <c r="J71" s="185"/>
      <c r="K71" s="22"/>
      <c r="L71" s="271"/>
      <c r="M71" s="252"/>
      <c r="N71" s="252"/>
      <c r="O71" s="252"/>
      <c r="P71" s="254"/>
      <c r="Q71" s="255"/>
      <c r="R71" s="256"/>
      <c r="S71" s="278"/>
      <c r="T71" s="258"/>
      <c r="U71" s="275"/>
    </row>
    <row r="72" spans="1:21" outlineLevel="1" x14ac:dyDescent="0.3">
      <c r="B72" s="220" t="s">
        <v>173</v>
      </c>
      <c r="F72" s="260" t="s">
        <v>174</v>
      </c>
      <c r="G72" s="270">
        <v>-1.0000000000005116E-2</v>
      </c>
      <c r="H72" s="189"/>
      <c r="I72" s="185"/>
      <c r="J72" s="185"/>
      <c r="K72" s="22"/>
      <c r="L72" s="271">
        <f>+H72</f>
        <v>0</v>
      </c>
      <c r="M72" s="252">
        <f t="shared" ref="M72:O74" si="31">IF(I72=0,0,I72-H72)</f>
        <v>0</v>
      </c>
      <c r="N72" s="252">
        <f t="shared" si="31"/>
        <v>0</v>
      </c>
      <c r="O72" s="252">
        <f t="shared" si="31"/>
        <v>0</v>
      </c>
      <c r="P72" s="254">
        <f>SUM(L72:O72)</f>
        <v>0</v>
      </c>
      <c r="Q72" s="255"/>
      <c r="R72" s="256">
        <f>P72-Q72</f>
        <v>0</v>
      </c>
      <c r="S72" s="278" t="str">
        <f>IF(Q72=0,"",P72/Q72)</f>
        <v/>
      </c>
      <c r="T72" s="258">
        <f>P72-G72</f>
        <v>1.0000000000005116E-2</v>
      </c>
      <c r="U72" s="275">
        <f>IF(G72=0,"",P72/G72)</f>
        <v>0</v>
      </c>
    </row>
    <row r="73" spans="1:21" outlineLevel="1" x14ac:dyDescent="0.3">
      <c r="F73" s="260"/>
      <c r="G73" s="270">
        <v>0</v>
      </c>
      <c r="H73" s="187"/>
      <c r="I73" s="185"/>
      <c r="J73" s="185"/>
      <c r="K73" s="22"/>
      <c r="L73" s="271">
        <f>+H73</f>
        <v>0</v>
      </c>
      <c r="M73" s="252">
        <f t="shared" si="31"/>
        <v>0</v>
      </c>
      <c r="N73" s="252">
        <f t="shared" si="31"/>
        <v>0</v>
      </c>
      <c r="O73" s="252">
        <f t="shared" si="31"/>
        <v>0</v>
      </c>
      <c r="P73" s="254">
        <f>SUM(L73:O73)</f>
        <v>0</v>
      </c>
      <c r="Q73" s="255"/>
      <c r="R73" s="256">
        <f>P73-Q73</f>
        <v>0</v>
      </c>
      <c r="S73" s="278" t="str">
        <f>IF(Q73=0,"",P73/Q73)</f>
        <v/>
      </c>
      <c r="T73" s="258">
        <f>P73-G73</f>
        <v>0</v>
      </c>
      <c r="U73" s="275" t="str">
        <f>IF(G73=0,"",P73/G73)</f>
        <v/>
      </c>
    </row>
    <row r="74" spans="1:21" outlineLevel="1" x14ac:dyDescent="0.3">
      <c r="F74" s="260"/>
      <c r="G74" s="270">
        <v>0</v>
      </c>
      <c r="H74" s="187"/>
      <c r="I74" s="185"/>
      <c r="J74" s="185"/>
      <c r="K74" s="22"/>
      <c r="L74" s="271">
        <f>+H74</f>
        <v>0</v>
      </c>
      <c r="M74" s="252">
        <f t="shared" si="31"/>
        <v>0</v>
      </c>
      <c r="N74" s="252">
        <f t="shared" si="31"/>
        <v>0</v>
      </c>
      <c r="O74" s="252">
        <f t="shared" si="31"/>
        <v>0</v>
      </c>
      <c r="P74" s="254">
        <f>SUM(L74:O74)</f>
        <v>0</v>
      </c>
      <c r="Q74" s="255"/>
      <c r="R74" s="256">
        <f>P74-Q74</f>
        <v>0</v>
      </c>
      <c r="S74" s="278" t="str">
        <f>IF(Q74=0,"",P74/Q74)</f>
        <v/>
      </c>
      <c r="T74" s="258">
        <f>P74-G74</f>
        <v>0</v>
      </c>
      <c r="U74" s="275" t="str">
        <f>IF(G74=0,"",P74/G74)</f>
        <v/>
      </c>
    </row>
    <row r="75" spans="1:21" outlineLevel="1" x14ac:dyDescent="0.3">
      <c r="F75" s="260"/>
      <c r="G75" s="270"/>
      <c r="H75" s="187"/>
      <c r="I75" s="185"/>
      <c r="J75" s="185"/>
      <c r="K75" s="22"/>
      <c r="L75" s="271"/>
      <c r="M75" s="252"/>
      <c r="N75" s="252"/>
      <c r="O75" s="252"/>
      <c r="P75" s="254"/>
      <c r="Q75" s="255"/>
      <c r="R75" s="256"/>
      <c r="S75" s="278" t="str">
        <f>IF(Q75=0,"",P75/Q75)</f>
        <v/>
      </c>
      <c r="T75" s="258"/>
      <c r="U75" s="275" t="str">
        <f>IF(G75=0,"",P75/G75)</f>
        <v/>
      </c>
    </row>
    <row r="76" spans="1:21" x14ac:dyDescent="0.3">
      <c r="A76" s="222" t="s">
        <v>47</v>
      </c>
      <c r="F76" s="260"/>
      <c r="G76" s="280">
        <f t="shared" ref="G76:R76" si="32">SUM(G48:G75)</f>
        <v>35132.99</v>
      </c>
      <c r="H76" s="188">
        <f>SUM(H48:H75)</f>
        <v>7948</v>
      </c>
      <c r="I76" s="188">
        <f>SUM(I48:I75)</f>
        <v>22121.579999999998</v>
      </c>
      <c r="J76" s="188">
        <f>SUM(J48:J75)</f>
        <v>32515.85</v>
      </c>
      <c r="K76" s="53">
        <f>SUM(K48:K75)</f>
        <v>39007.33</v>
      </c>
      <c r="L76" s="282">
        <f t="shared" si="32"/>
        <v>7948</v>
      </c>
      <c r="M76" s="281">
        <f t="shared" si="32"/>
        <v>14173.58</v>
      </c>
      <c r="N76" s="281">
        <f t="shared" si="32"/>
        <v>10394.27</v>
      </c>
      <c r="O76" s="281">
        <f t="shared" si="32"/>
        <v>6491.4800000000005</v>
      </c>
      <c r="P76" s="283">
        <f t="shared" si="32"/>
        <v>39007.33</v>
      </c>
      <c r="Q76" s="284">
        <f>SUM(Q48:Q75)</f>
        <v>35634</v>
      </c>
      <c r="R76" s="285">
        <f t="shared" si="32"/>
        <v>3373.33</v>
      </c>
      <c r="S76" s="286">
        <f>IF(Q76=0,"",P76/Q76)</f>
        <v>1.0946660492787788</v>
      </c>
      <c r="T76" s="287">
        <f>SUM(T48:T75)</f>
        <v>3874.34</v>
      </c>
      <c r="U76" s="290">
        <f>IF(G76=0,"",P76/G76)</f>
        <v>1.1102764097220306</v>
      </c>
    </row>
    <row r="77" spans="1:21" x14ac:dyDescent="0.3">
      <c r="F77" s="260"/>
      <c r="G77" s="270"/>
      <c r="H77" s="185"/>
      <c r="I77" s="185"/>
      <c r="J77" s="185"/>
      <c r="K77" s="22"/>
      <c r="L77" s="271"/>
      <c r="M77" s="252"/>
      <c r="N77" s="252"/>
      <c r="O77" s="252"/>
      <c r="P77" s="254"/>
      <c r="Q77" s="255"/>
      <c r="R77" s="256"/>
      <c r="S77" s="278"/>
      <c r="T77" s="258"/>
      <c r="U77" s="275"/>
    </row>
    <row r="78" spans="1:21" ht="14" thickBot="1" x14ac:dyDescent="0.35">
      <c r="A78" s="222" t="s">
        <v>176</v>
      </c>
      <c r="F78" s="260"/>
      <c r="G78" s="291">
        <f>G45-G76</f>
        <v>18563.010000000002</v>
      </c>
      <c r="H78" s="190">
        <f>H45-H76</f>
        <v>53.5</v>
      </c>
      <c r="I78" s="190">
        <f>I45-I76</f>
        <v>511.37000000000262</v>
      </c>
      <c r="J78" s="190">
        <f>J45-J76</f>
        <v>-1640.9399999999987</v>
      </c>
      <c r="K78" s="57">
        <f>K45-K76</f>
        <v>2560.4499999999971</v>
      </c>
      <c r="L78" s="293">
        <f t="shared" ref="L78:R78" si="33">L45-L76</f>
        <v>53.5</v>
      </c>
      <c r="M78" s="292">
        <f t="shared" si="33"/>
        <v>457.8700000000008</v>
      </c>
      <c r="N78" s="292">
        <f t="shared" si="33"/>
        <v>-2152.3099999999995</v>
      </c>
      <c r="O78" s="292">
        <f t="shared" si="33"/>
        <v>4201.3899999999985</v>
      </c>
      <c r="P78" s="294">
        <f t="shared" si="33"/>
        <v>2560.4499999999971</v>
      </c>
      <c r="Q78" s="295">
        <f>Q45-Q76</f>
        <v>17966.099999999999</v>
      </c>
      <c r="R78" s="296">
        <f t="shared" si="33"/>
        <v>-15405.65</v>
      </c>
      <c r="S78" s="297">
        <f>IF(Q78=0,"",P78/Q78)</f>
        <v>0.14251562665241746</v>
      </c>
      <c r="T78" s="298">
        <f>T45-T76</f>
        <v>-16002.560000000001</v>
      </c>
      <c r="U78" s="299">
        <f>IF(G78=0,"",P78/G78)</f>
        <v>0.1379329106648112</v>
      </c>
    </row>
    <row r="79" spans="1:21" x14ac:dyDescent="0.3">
      <c r="F79" s="300"/>
      <c r="G79" s="270"/>
      <c r="H79" s="185"/>
      <c r="I79" s="185"/>
      <c r="J79" s="185"/>
      <c r="K79" s="22"/>
      <c r="L79" s="271"/>
      <c r="M79" s="252"/>
      <c r="N79" s="252"/>
      <c r="O79" s="252"/>
      <c r="P79" s="254"/>
      <c r="Q79" s="255"/>
      <c r="R79" s="256"/>
      <c r="S79" s="257"/>
      <c r="T79" s="258"/>
      <c r="U79" s="259"/>
    </row>
    <row r="80" spans="1:21" x14ac:dyDescent="0.3">
      <c r="A80" s="222" t="s">
        <v>177</v>
      </c>
      <c r="F80" s="300"/>
      <c r="G80" s="261">
        <f t="shared" ref="G80:P80" si="34">SUM(G81:G84)</f>
        <v>60</v>
      </c>
      <c r="H80" s="186">
        <f>SUM(H81:H84)</f>
        <v>11</v>
      </c>
      <c r="I80" s="186">
        <f>SUM(I81:I84)</f>
        <v>22.82</v>
      </c>
      <c r="J80" s="186">
        <f>SUM(J81:J84)</f>
        <v>30.43</v>
      </c>
      <c r="K80" s="45">
        <f>SUM(K81:K84)</f>
        <v>45.65</v>
      </c>
      <c r="L80" s="263">
        <f t="shared" si="34"/>
        <v>11</v>
      </c>
      <c r="M80" s="262">
        <f t="shared" si="34"/>
        <v>11.82</v>
      </c>
      <c r="N80" s="262">
        <f t="shared" si="34"/>
        <v>7.6099999999999994</v>
      </c>
      <c r="O80" s="262">
        <f t="shared" si="34"/>
        <v>15.219999999999999</v>
      </c>
      <c r="P80" s="264">
        <f t="shared" si="34"/>
        <v>45.65</v>
      </c>
      <c r="Q80" s="265">
        <f>SUM(Q81:Q84)</f>
        <v>60</v>
      </c>
      <c r="R80" s="266">
        <f>SUM(R82:R85)</f>
        <v>-14.350000000000001</v>
      </c>
      <c r="S80" s="276">
        <f t="shared" ref="S80:S86" si="35">IF(Q80=0,"",P80/Q80)</f>
        <v>0.76083333333333336</v>
      </c>
      <c r="T80" s="268">
        <f>SUM(T82:T85)</f>
        <v>-14.350000000000001</v>
      </c>
      <c r="U80" s="332">
        <f t="shared" ref="U80:U86" si="36">IF(G80=0,"",P80/G80)</f>
        <v>0.76083333333333336</v>
      </c>
    </row>
    <row r="81" spans="1:21" outlineLevel="1" x14ac:dyDescent="0.3">
      <c r="B81" s="220" t="s">
        <v>178</v>
      </c>
      <c r="F81" s="300"/>
      <c r="G81" s="270"/>
      <c r="H81" s="185"/>
      <c r="I81" s="185"/>
      <c r="J81" s="185"/>
      <c r="K81" s="22"/>
      <c r="L81" s="271"/>
      <c r="M81" s="252"/>
      <c r="N81" s="252"/>
      <c r="O81" s="252"/>
      <c r="P81" s="254"/>
      <c r="Q81" s="255"/>
      <c r="R81" s="256"/>
      <c r="S81" s="278" t="str">
        <f t="shared" si="35"/>
        <v/>
      </c>
      <c r="T81" s="258"/>
      <c r="U81" s="275" t="str">
        <f t="shared" si="36"/>
        <v/>
      </c>
    </row>
    <row r="82" spans="1:21" outlineLevel="1" x14ac:dyDescent="0.3">
      <c r="C82" s="220" t="s">
        <v>179</v>
      </c>
      <c r="F82" s="300"/>
      <c r="G82" s="270">
        <v>0</v>
      </c>
      <c r="H82" s="185"/>
      <c r="I82" s="185"/>
      <c r="J82" s="185"/>
      <c r="K82" s="22"/>
      <c r="L82" s="271">
        <f>+H82</f>
        <v>0</v>
      </c>
      <c r="M82" s="252">
        <f t="shared" ref="M82:O84" si="37">IF(I82=0,0,I82-H82)</f>
        <v>0</v>
      </c>
      <c r="N82" s="252">
        <f t="shared" si="37"/>
        <v>0</v>
      </c>
      <c r="O82" s="252">
        <f t="shared" si="37"/>
        <v>0</v>
      </c>
      <c r="P82" s="254">
        <f>SUM(L82:O82)</f>
        <v>0</v>
      </c>
      <c r="Q82" s="255"/>
      <c r="R82" s="256">
        <f>P82-Q82</f>
        <v>0</v>
      </c>
      <c r="S82" s="278" t="str">
        <f t="shared" si="35"/>
        <v/>
      </c>
      <c r="T82" s="258">
        <f>P82-G82</f>
        <v>0</v>
      </c>
      <c r="U82" s="275" t="str">
        <f t="shared" si="36"/>
        <v/>
      </c>
    </row>
    <row r="83" spans="1:21" outlineLevel="1" x14ac:dyDescent="0.3">
      <c r="B83" s="220" t="s">
        <v>180</v>
      </c>
      <c r="F83" s="300">
        <v>5310</v>
      </c>
      <c r="G83" s="270">
        <v>60</v>
      </c>
      <c r="H83" s="185">
        <v>11</v>
      </c>
      <c r="I83" s="185">
        <v>22.82</v>
      </c>
      <c r="J83" s="185">
        <v>30.43</v>
      </c>
      <c r="K83" s="22">
        <v>45.65</v>
      </c>
      <c r="L83" s="271">
        <f>+H83</f>
        <v>11</v>
      </c>
      <c r="M83" s="252">
        <f t="shared" si="37"/>
        <v>11.82</v>
      </c>
      <c r="N83" s="252">
        <f t="shared" si="37"/>
        <v>7.6099999999999994</v>
      </c>
      <c r="O83" s="252">
        <f t="shared" si="37"/>
        <v>15.219999999999999</v>
      </c>
      <c r="P83" s="254">
        <f>SUM(L83:O83)</f>
        <v>45.65</v>
      </c>
      <c r="Q83" s="255">
        <v>60</v>
      </c>
      <c r="R83" s="256">
        <f>P83-Q83</f>
        <v>-14.350000000000001</v>
      </c>
      <c r="S83" s="278">
        <f t="shared" si="35"/>
        <v>0.76083333333333336</v>
      </c>
      <c r="T83" s="258">
        <f>P83-G83</f>
        <v>-14.350000000000001</v>
      </c>
      <c r="U83" s="275">
        <f t="shared" si="36"/>
        <v>0.76083333333333336</v>
      </c>
    </row>
    <row r="84" spans="1:21" outlineLevel="1" x14ac:dyDescent="0.3">
      <c r="F84" s="300"/>
      <c r="G84" s="270">
        <v>0</v>
      </c>
      <c r="H84" s="185"/>
      <c r="I84" s="185"/>
      <c r="J84" s="185"/>
      <c r="K84" s="22"/>
      <c r="L84" s="271">
        <f>+H84</f>
        <v>0</v>
      </c>
      <c r="M84" s="252">
        <f t="shared" si="37"/>
        <v>0</v>
      </c>
      <c r="N84" s="252">
        <f t="shared" si="37"/>
        <v>0</v>
      </c>
      <c r="O84" s="252">
        <f t="shared" si="37"/>
        <v>0</v>
      </c>
      <c r="P84" s="254">
        <f>SUM(L84:O84)</f>
        <v>0</v>
      </c>
      <c r="Q84" s="255"/>
      <c r="R84" s="256">
        <f>P84-Q84</f>
        <v>0</v>
      </c>
      <c r="S84" s="278" t="str">
        <f t="shared" si="35"/>
        <v/>
      </c>
      <c r="T84" s="258">
        <f>P84-G84</f>
        <v>0</v>
      </c>
      <c r="U84" s="275" t="str">
        <f t="shared" si="36"/>
        <v/>
      </c>
    </row>
    <row r="85" spans="1:21" x14ac:dyDescent="0.3">
      <c r="F85" s="300"/>
      <c r="G85" s="270"/>
      <c r="H85" s="185"/>
      <c r="I85" s="185"/>
      <c r="J85" s="185"/>
      <c r="K85" s="22"/>
      <c r="L85" s="271"/>
      <c r="M85" s="252"/>
      <c r="N85" s="252"/>
      <c r="O85" s="252"/>
      <c r="P85" s="254"/>
      <c r="Q85" s="255"/>
      <c r="R85" s="256"/>
      <c r="S85" s="278" t="str">
        <f t="shared" si="35"/>
        <v/>
      </c>
      <c r="T85" s="258"/>
      <c r="U85" s="275" t="str">
        <f t="shared" si="36"/>
        <v/>
      </c>
    </row>
    <row r="86" spans="1:21" x14ac:dyDescent="0.3">
      <c r="A86" s="222" t="s">
        <v>181</v>
      </c>
      <c r="F86" s="300"/>
      <c r="G86" s="261"/>
      <c r="H86" s="186"/>
      <c r="I86" s="186"/>
      <c r="J86" s="186"/>
      <c r="K86" s="45"/>
      <c r="L86" s="263"/>
      <c r="M86" s="262"/>
      <c r="N86" s="262"/>
      <c r="O86" s="262"/>
      <c r="P86" s="264">
        <f>SUM(L86:O86)</f>
        <v>0</v>
      </c>
      <c r="Q86" s="265"/>
      <c r="R86" s="266">
        <f>P86-Q86</f>
        <v>0</v>
      </c>
      <c r="S86" s="276" t="str">
        <f t="shared" si="35"/>
        <v/>
      </c>
      <c r="T86" s="268">
        <f>P86-G86</f>
        <v>0</v>
      </c>
      <c r="U86" s="332" t="str">
        <f t="shared" si="36"/>
        <v/>
      </c>
    </row>
    <row r="87" spans="1:21" x14ac:dyDescent="0.3">
      <c r="F87" s="300"/>
      <c r="G87" s="270"/>
      <c r="H87" s="185"/>
      <c r="I87" s="185"/>
      <c r="J87" s="185"/>
      <c r="K87" s="22"/>
      <c r="L87" s="271"/>
      <c r="M87" s="252"/>
      <c r="N87" s="252"/>
      <c r="O87" s="252"/>
      <c r="P87" s="254"/>
      <c r="Q87" s="255"/>
      <c r="R87" s="256"/>
      <c r="S87" s="278"/>
      <c r="T87" s="258"/>
      <c r="U87" s="275"/>
    </row>
    <row r="88" spans="1:21" ht="14" outlineLevel="1" thickBot="1" x14ac:dyDescent="0.35">
      <c r="A88" s="222" t="s">
        <v>182</v>
      </c>
      <c r="F88" s="300"/>
      <c r="G88" s="301">
        <f t="shared" ref="G88:Q88" si="38">G78+G80-G86</f>
        <v>18623.010000000002</v>
      </c>
      <c r="H88" s="191">
        <f t="shared" si="38"/>
        <v>64.5</v>
      </c>
      <c r="I88" s="191">
        <f t="shared" si="38"/>
        <v>534.19000000000267</v>
      </c>
      <c r="J88" s="191">
        <f t="shared" si="38"/>
        <v>-1610.5099999999986</v>
      </c>
      <c r="K88" s="61">
        <f t="shared" si="38"/>
        <v>2606.0999999999972</v>
      </c>
      <c r="L88" s="301">
        <f t="shared" si="38"/>
        <v>64.5</v>
      </c>
      <c r="M88" s="302">
        <f t="shared" si="38"/>
        <v>469.69000000000079</v>
      </c>
      <c r="N88" s="302">
        <f t="shared" si="38"/>
        <v>-2144.6999999999994</v>
      </c>
      <c r="O88" s="302">
        <f t="shared" si="38"/>
        <v>4216.6099999999988</v>
      </c>
      <c r="P88" s="294">
        <f t="shared" si="38"/>
        <v>2606.0999999999972</v>
      </c>
      <c r="Q88" s="303">
        <f t="shared" si="38"/>
        <v>18026.099999999999</v>
      </c>
      <c r="R88" s="303">
        <f>R78+-R86</f>
        <v>-15405.65</v>
      </c>
      <c r="S88" s="304">
        <f>IF(Q88=0,"",P88/Q88)</f>
        <v>0.14457370146620718</v>
      </c>
      <c r="T88" s="303">
        <f>T78+-T86</f>
        <v>-16002.560000000001</v>
      </c>
      <c r="U88" s="305">
        <f>IF(G88=0,"",P88/G88)</f>
        <v>0.13993978417022795</v>
      </c>
    </row>
    <row r="89" spans="1:21" outlineLevel="1" x14ac:dyDescent="0.3">
      <c r="A89" s="222"/>
      <c r="F89" s="300"/>
      <c r="G89" s="306"/>
      <c r="H89" s="185"/>
      <c r="I89" s="185"/>
      <c r="J89" s="185"/>
      <c r="K89" s="22"/>
      <c r="L89" s="307"/>
      <c r="M89" s="308"/>
      <c r="N89" s="308"/>
      <c r="O89" s="252"/>
      <c r="P89" s="309"/>
      <c r="Q89" s="255"/>
      <c r="R89" s="256"/>
      <c r="S89" s="257"/>
      <c r="T89" s="258"/>
      <c r="U89" s="275"/>
    </row>
    <row r="90" spans="1:21" outlineLevel="1" x14ac:dyDescent="0.3">
      <c r="A90" s="222" t="s">
        <v>183</v>
      </c>
      <c r="F90" s="300"/>
      <c r="G90" s="306"/>
      <c r="H90" s="185"/>
      <c r="I90" s="185"/>
      <c r="J90" s="185"/>
      <c r="K90" s="22"/>
      <c r="L90" s="307"/>
      <c r="M90" s="308"/>
      <c r="N90" s="308"/>
      <c r="O90" s="252"/>
      <c r="P90" s="309"/>
      <c r="Q90" s="255"/>
      <c r="R90" s="256"/>
      <c r="S90" s="257"/>
      <c r="T90" s="258"/>
      <c r="U90" s="275"/>
    </row>
    <row r="91" spans="1:21" outlineLevel="1" x14ac:dyDescent="0.3">
      <c r="A91" s="222"/>
      <c r="B91" s="220" t="s">
        <v>184</v>
      </c>
      <c r="F91" s="300"/>
      <c r="G91" s="306">
        <v>0</v>
      </c>
      <c r="H91" s="185"/>
      <c r="I91" s="185"/>
      <c r="J91" s="185"/>
      <c r="K91" s="22"/>
      <c r="L91" s="307"/>
      <c r="M91" s="308"/>
      <c r="N91" s="308"/>
      <c r="O91" s="252"/>
      <c r="P91" s="254">
        <f>SUM(L91:O91)</f>
        <v>0</v>
      </c>
      <c r="Q91" s="255"/>
      <c r="R91" s="256">
        <f>P91-Q91</f>
        <v>0</v>
      </c>
      <c r="S91" s="278" t="str">
        <f>IF(Q91=0,"",P91/Q91)</f>
        <v/>
      </c>
      <c r="T91" s="258">
        <f>P91-G91</f>
        <v>0</v>
      </c>
      <c r="U91" s="275" t="str">
        <f>IF(G91=0,"",P91/G91)</f>
        <v/>
      </c>
    </row>
    <row r="92" spans="1:21" outlineLevel="1" x14ac:dyDescent="0.3">
      <c r="B92" s="220" t="s">
        <v>266</v>
      </c>
      <c r="E92" s="220" t="s">
        <v>418</v>
      </c>
      <c r="F92" s="300"/>
      <c r="G92" s="270">
        <v>951.47</v>
      </c>
      <c r="H92" s="185">
        <f>+H132</f>
        <v>789</v>
      </c>
      <c r="I92" s="185">
        <f>+I132</f>
        <v>2588.9299999999998</v>
      </c>
      <c r="J92" s="185">
        <f>+J132</f>
        <v>4799</v>
      </c>
      <c r="K92" s="22">
        <f>+K132</f>
        <v>4799</v>
      </c>
      <c r="L92" s="271">
        <f>+H92</f>
        <v>789</v>
      </c>
      <c r="M92" s="252">
        <f>IF(I92=0,0,I92-H92)</f>
        <v>1799.9299999999998</v>
      </c>
      <c r="N92" s="252">
        <f>IF(J92=0,0,J92-I92)</f>
        <v>2210.0700000000002</v>
      </c>
      <c r="O92" s="252">
        <f>IF(K92=0,0,K92-J92)</f>
        <v>0</v>
      </c>
      <c r="P92" s="254">
        <f>SUM(L92:O92)</f>
        <v>4799</v>
      </c>
      <c r="Q92" s="255">
        <f>+Q132</f>
        <v>21000</v>
      </c>
      <c r="R92" s="256">
        <f>P92-Q92</f>
        <v>-16201</v>
      </c>
      <c r="S92" s="278">
        <f>IF(Q92=0,"",P92/Q92)</f>
        <v>0.22852380952380952</v>
      </c>
      <c r="T92" s="258">
        <f>P92-G92</f>
        <v>3847.5299999999997</v>
      </c>
      <c r="U92" s="275">
        <f>IF(G92=0,"",P92/G92)</f>
        <v>5.0437743701850817</v>
      </c>
    </row>
    <row r="93" spans="1:21" outlineLevel="1" x14ac:dyDescent="0.3">
      <c r="A93" s="222"/>
      <c r="F93" s="300"/>
      <c r="G93" s="306"/>
      <c r="H93" s="185"/>
      <c r="I93" s="185"/>
      <c r="J93" s="185"/>
      <c r="K93" s="22"/>
      <c r="L93" s="307"/>
      <c r="M93" s="308"/>
      <c r="N93" s="308"/>
      <c r="O93" s="252"/>
      <c r="P93" s="309"/>
      <c r="Q93" s="255"/>
      <c r="R93" s="256"/>
      <c r="S93" s="278"/>
      <c r="T93" s="258"/>
      <c r="U93" s="275"/>
    </row>
    <row r="94" spans="1:21" outlineLevel="1" x14ac:dyDescent="0.3">
      <c r="A94" s="222"/>
      <c r="B94" s="222" t="s">
        <v>185</v>
      </c>
      <c r="F94" s="300"/>
      <c r="G94" s="261">
        <f t="shared" ref="G94:Q94" si="39">+G91+G92</f>
        <v>951.47</v>
      </c>
      <c r="H94" s="186">
        <f t="shared" si="39"/>
        <v>789</v>
      </c>
      <c r="I94" s="186">
        <f t="shared" si="39"/>
        <v>2588.9299999999998</v>
      </c>
      <c r="J94" s="186">
        <f t="shared" si="39"/>
        <v>4799</v>
      </c>
      <c r="K94" s="45">
        <f t="shared" si="39"/>
        <v>4799</v>
      </c>
      <c r="L94" s="263">
        <f t="shared" si="39"/>
        <v>789</v>
      </c>
      <c r="M94" s="262">
        <f t="shared" si="39"/>
        <v>1799.9299999999998</v>
      </c>
      <c r="N94" s="262">
        <f t="shared" si="39"/>
        <v>2210.0700000000002</v>
      </c>
      <c r="O94" s="262">
        <f t="shared" si="39"/>
        <v>0</v>
      </c>
      <c r="P94" s="264">
        <f t="shared" si="39"/>
        <v>4799</v>
      </c>
      <c r="Q94" s="264">
        <f t="shared" si="39"/>
        <v>21000</v>
      </c>
      <c r="R94" s="266">
        <f>R91+R92</f>
        <v>-16201</v>
      </c>
      <c r="S94" s="276">
        <f>IF(Q94=0,"",P94/Q94)</f>
        <v>0.22852380952380952</v>
      </c>
      <c r="T94" s="268">
        <f>T91+T92</f>
        <v>3847.5299999999997</v>
      </c>
      <c r="U94" s="310">
        <f>IF(G94=0,"",P94/G94)</f>
        <v>5.0437743701850817</v>
      </c>
    </row>
    <row r="95" spans="1:21" outlineLevel="1" x14ac:dyDescent="0.3">
      <c r="A95" s="222"/>
      <c r="F95" s="300"/>
      <c r="G95" s="306"/>
      <c r="H95" s="185"/>
      <c r="I95" s="185"/>
      <c r="J95" s="185"/>
      <c r="K95" s="22"/>
      <c r="L95" s="307"/>
      <c r="M95" s="308"/>
      <c r="N95" s="308"/>
      <c r="O95" s="252"/>
      <c r="P95" s="309"/>
      <c r="Q95" s="255"/>
      <c r="R95" s="256"/>
      <c r="S95" s="278"/>
      <c r="T95" s="258"/>
      <c r="U95" s="311"/>
    </row>
    <row r="96" spans="1:21" ht="14" thickBot="1" x14ac:dyDescent="0.35">
      <c r="A96" s="222" t="s">
        <v>186</v>
      </c>
      <c r="F96" s="300"/>
      <c r="G96" s="312">
        <f t="shared" ref="G96:Q96" si="40">+G88-G94</f>
        <v>17671.54</v>
      </c>
      <c r="H96" s="192">
        <f t="shared" si="40"/>
        <v>-724.5</v>
      </c>
      <c r="I96" s="192">
        <f t="shared" si="40"/>
        <v>-2054.7399999999971</v>
      </c>
      <c r="J96" s="192">
        <f t="shared" si="40"/>
        <v>-6409.5099999999984</v>
      </c>
      <c r="K96" s="65">
        <f t="shared" si="40"/>
        <v>-2192.9000000000028</v>
      </c>
      <c r="L96" s="312">
        <f t="shared" si="40"/>
        <v>-724.5</v>
      </c>
      <c r="M96" s="313">
        <f t="shared" si="40"/>
        <v>-1330.2399999999991</v>
      </c>
      <c r="N96" s="313">
        <f t="shared" si="40"/>
        <v>-4354.7699999999995</v>
      </c>
      <c r="O96" s="313">
        <f t="shared" si="40"/>
        <v>4216.6099999999988</v>
      </c>
      <c r="P96" s="314">
        <f t="shared" si="40"/>
        <v>-2192.9000000000028</v>
      </c>
      <c r="Q96" s="315">
        <f t="shared" si="40"/>
        <v>-2973.9000000000015</v>
      </c>
      <c r="R96" s="316">
        <f>R88-R94</f>
        <v>795.35000000000036</v>
      </c>
      <c r="S96" s="317">
        <f>IF(Q96=0,"",P96/Q96)</f>
        <v>0.73738188910185343</v>
      </c>
      <c r="T96" s="318">
        <f>T88-T94</f>
        <v>-19850.09</v>
      </c>
      <c r="U96" s="319">
        <f>IF(G96=0,"",P96/G96)</f>
        <v>-0.12409218438234601</v>
      </c>
    </row>
    <row r="97" spans="1:21" ht="14" thickTop="1" x14ac:dyDescent="0.3">
      <c r="F97" s="300"/>
      <c r="G97" s="270"/>
      <c r="H97" s="185"/>
      <c r="I97" s="185"/>
      <c r="J97" s="185"/>
      <c r="K97" s="22"/>
      <c r="L97" s="271"/>
      <c r="M97" s="252"/>
      <c r="N97" s="252"/>
      <c r="O97" s="252"/>
      <c r="P97" s="254"/>
      <c r="Q97" s="255"/>
      <c r="R97" s="256"/>
      <c r="S97" s="257"/>
      <c r="T97" s="258"/>
      <c r="U97" s="275"/>
    </row>
    <row r="98" spans="1:21" x14ac:dyDescent="0.3">
      <c r="A98" s="222" t="s">
        <v>340</v>
      </c>
      <c r="F98" s="300"/>
      <c r="G98" s="270"/>
      <c r="H98" s="185"/>
      <c r="I98" s="185"/>
      <c r="J98" s="185"/>
      <c r="K98" s="22"/>
      <c r="L98" s="271"/>
      <c r="M98" s="252"/>
      <c r="N98" s="252"/>
      <c r="O98" s="252"/>
      <c r="P98" s="254"/>
      <c r="Q98" s="255"/>
      <c r="R98" s="256"/>
      <c r="S98" s="257"/>
      <c r="T98" s="258"/>
      <c r="U98" s="275"/>
    </row>
    <row r="99" spans="1:21" x14ac:dyDescent="0.3">
      <c r="B99" s="220" t="s">
        <v>341</v>
      </c>
      <c r="F99" s="300"/>
      <c r="G99" s="270">
        <v>12189</v>
      </c>
      <c r="H99" s="185"/>
      <c r="I99" s="185"/>
      <c r="J99" s="185">
        <v>12047</v>
      </c>
      <c r="K99" s="22">
        <v>12407</v>
      </c>
      <c r="L99" s="271">
        <f t="shared" ref="L99:L107" si="41">+H99</f>
        <v>0</v>
      </c>
      <c r="M99" s="252">
        <f t="shared" ref="M99:O107" si="42">IF(I99=0,0,I99-H99)</f>
        <v>0</v>
      </c>
      <c r="N99" s="252">
        <f t="shared" si="42"/>
        <v>12047</v>
      </c>
      <c r="O99" s="252">
        <f t="shared" si="42"/>
        <v>360</v>
      </c>
      <c r="P99" s="254">
        <f t="shared" ref="P99:P107" si="43">SUM(L99:O99)</f>
        <v>12407</v>
      </c>
      <c r="Q99" s="255">
        <v>12000</v>
      </c>
      <c r="R99" s="256">
        <f t="shared" ref="R99:R107" si="44">P99-Q99</f>
        <v>407</v>
      </c>
      <c r="S99" s="278">
        <f t="shared" ref="S99:S107" si="45">IF(Q99=0,"",P99/Q99)</f>
        <v>1.0339166666666666</v>
      </c>
      <c r="T99" s="258">
        <f t="shared" ref="T99:T107" si="46">P99-G99</f>
        <v>218</v>
      </c>
      <c r="U99" s="275">
        <f t="shared" ref="U99:U107" si="47">IF(G99=0,"",P99/G99)</f>
        <v>1.017884978259086</v>
      </c>
    </row>
    <row r="100" spans="1:21" x14ac:dyDescent="0.3">
      <c r="B100" s="220" t="s">
        <v>342</v>
      </c>
      <c r="F100" s="300">
        <v>5491</v>
      </c>
      <c r="G100" s="270">
        <v>0</v>
      </c>
      <c r="H100" s="185"/>
      <c r="I100" s="185"/>
      <c r="J100" s="185"/>
      <c r="K100" s="22"/>
      <c r="L100" s="271">
        <f t="shared" si="41"/>
        <v>0</v>
      </c>
      <c r="M100" s="252">
        <f t="shared" si="42"/>
        <v>0</v>
      </c>
      <c r="N100" s="252">
        <f t="shared" si="42"/>
        <v>0</v>
      </c>
      <c r="O100" s="252">
        <f t="shared" si="42"/>
        <v>0</v>
      </c>
      <c r="P100" s="254">
        <f t="shared" si="43"/>
        <v>0</v>
      </c>
      <c r="Q100" s="255"/>
      <c r="R100" s="256">
        <f t="shared" si="44"/>
        <v>0</v>
      </c>
      <c r="S100" s="278" t="str">
        <f t="shared" si="45"/>
        <v/>
      </c>
      <c r="T100" s="258">
        <f t="shared" si="46"/>
        <v>0</v>
      </c>
      <c r="U100" s="275" t="str">
        <f t="shared" si="47"/>
        <v/>
      </c>
    </row>
    <row r="101" spans="1:21" x14ac:dyDescent="0.3">
      <c r="B101" s="220" t="s">
        <v>343</v>
      </c>
      <c r="F101" s="300"/>
      <c r="G101" s="270">
        <v>6000</v>
      </c>
      <c r="H101" s="185">
        <v>6000</v>
      </c>
      <c r="I101" s="185">
        <v>6000</v>
      </c>
      <c r="J101" s="185">
        <v>6000</v>
      </c>
      <c r="K101" s="22">
        <v>6000</v>
      </c>
      <c r="L101" s="271">
        <f t="shared" si="41"/>
        <v>6000</v>
      </c>
      <c r="M101" s="252">
        <f t="shared" si="42"/>
        <v>0</v>
      </c>
      <c r="N101" s="252">
        <f t="shared" si="42"/>
        <v>0</v>
      </c>
      <c r="O101" s="252">
        <f t="shared" si="42"/>
        <v>0</v>
      </c>
      <c r="P101" s="254">
        <f t="shared" si="43"/>
        <v>6000</v>
      </c>
      <c r="Q101" s="255">
        <v>6000</v>
      </c>
      <c r="R101" s="256">
        <f t="shared" si="44"/>
        <v>0</v>
      </c>
      <c r="S101" s="278">
        <f t="shared" si="45"/>
        <v>1</v>
      </c>
      <c r="T101" s="258">
        <f t="shared" si="46"/>
        <v>0</v>
      </c>
      <c r="U101" s="275">
        <f t="shared" si="47"/>
        <v>1</v>
      </c>
    </row>
    <row r="102" spans="1:21" x14ac:dyDescent="0.3">
      <c r="B102" s="220" t="s">
        <v>344</v>
      </c>
      <c r="F102" s="300"/>
      <c r="G102" s="270">
        <v>0</v>
      </c>
      <c r="H102" s="185"/>
      <c r="I102" s="185"/>
      <c r="J102" s="185"/>
      <c r="K102" s="22"/>
      <c r="L102" s="271">
        <f t="shared" si="41"/>
        <v>0</v>
      </c>
      <c r="M102" s="252">
        <f t="shared" si="42"/>
        <v>0</v>
      </c>
      <c r="N102" s="252">
        <f t="shared" si="42"/>
        <v>0</v>
      </c>
      <c r="O102" s="252">
        <f t="shared" si="42"/>
        <v>0</v>
      </c>
      <c r="P102" s="254">
        <f t="shared" si="43"/>
        <v>0</v>
      </c>
      <c r="Q102" s="255"/>
      <c r="R102" s="256">
        <f t="shared" si="44"/>
        <v>0</v>
      </c>
      <c r="S102" s="278" t="str">
        <f t="shared" si="45"/>
        <v/>
      </c>
      <c r="T102" s="258">
        <f t="shared" si="46"/>
        <v>0</v>
      </c>
      <c r="U102" s="275" t="str">
        <f t="shared" si="47"/>
        <v/>
      </c>
    </row>
    <row r="103" spans="1:21" x14ac:dyDescent="0.3">
      <c r="B103" s="220" t="s">
        <v>345</v>
      </c>
      <c r="F103" s="300"/>
      <c r="G103" s="270">
        <v>0</v>
      </c>
      <c r="H103" s="185"/>
      <c r="I103" s="185"/>
      <c r="J103" s="185"/>
      <c r="K103" s="22"/>
      <c r="L103" s="271">
        <f t="shared" si="41"/>
        <v>0</v>
      </c>
      <c r="M103" s="252">
        <f t="shared" si="42"/>
        <v>0</v>
      </c>
      <c r="N103" s="252">
        <f t="shared" si="42"/>
        <v>0</v>
      </c>
      <c r="O103" s="252">
        <f t="shared" si="42"/>
        <v>0</v>
      </c>
      <c r="P103" s="254">
        <f t="shared" si="43"/>
        <v>0</v>
      </c>
      <c r="Q103" s="255"/>
      <c r="R103" s="256">
        <f t="shared" si="44"/>
        <v>0</v>
      </c>
      <c r="S103" s="278" t="str">
        <f t="shared" si="45"/>
        <v/>
      </c>
      <c r="T103" s="258">
        <f t="shared" si="46"/>
        <v>0</v>
      </c>
      <c r="U103" s="275" t="str">
        <f t="shared" si="47"/>
        <v/>
      </c>
    </row>
    <row r="104" spans="1:21" x14ac:dyDescent="0.3">
      <c r="B104" s="220" t="s">
        <v>346</v>
      </c>
      <c r="F104" s="300"/>
      <c r="G104" s="270">
        <v>0</v>
      </c>
      <c r="H104" s="185"/>
      <c r="I104" s="185"/>
      <c r="J104" s="185"/>
      <c r="K104" s="22"/>
      <c r="L104" s="271">
        <f t="shared" si="41"/>
        <v>0</v>
      </c>
      <c r="M104" s="252">
        <f t="shared" si="42"/>
        <v>0</v>
      </c>
      <c r="N104" s="252">
        <f t="shared" si="42"/>
        <v>0</v>
      </c>
      <c r="O104" s="252">
        <f t="shared" si="42"/>
        <v>0</v>
      </c>
      <c r="P104" s="254">
        <f t="shared" si="43"/>
        <v>0</v>
      </c>
      <c r="Q104" s="255"/>
      <c r="R104" s="256">
        <f t="shared" si="44"/>
        <v>0</v>
      </c>
      <c r="S104" s="278" t="str">
        <f t="shared" si="45"/>
        <v/>
      </c>
      <c r="T104" s="258">
        <f t="shared" si="46"/>
        <v>0</v>
      </c>
      <c r="U104" s="275" t="str">
        <f t="shared" si="47"/>
        <v/>
      </c>
    </row>
    <row r="105" spans="1:21" x14ac:dyDescent="0.3">
      <c r="B105" s="220" t="s">
        <v>347</v>
      </c>
      <c r="F105" s="300"/>
      <c r="G105" s="270">
        <v>0</v>
      </c>
      <c r="H105" s="185"/>
      <c r="I105" s="185"/>
      <c r="J105" s="185"/>
      <c r="K105" s="22"/>
      <c r="L105" s="271">
        <f t="shared" si="41"/>
        <v>0</v>
      </c>
      <c r="M105" s="252">
        <f t="shared" si="42"/>
        <v>0</v>
      </c>
      <c r="N105" s="252">
        <f t="shared" si="42"/>
        <v>0</v>
      </c>
      <c r="O105" s="252">
        <f t="shared" si="42"/>
        <v>0</v>
      </c>
      <c r="P105" s="254">
        <f t="shared" si="43"/>
        <v>0</v>
      </c>
      <c r="Q105" s="255"/>
      <c r="R105" s="256">
        <f t="shared" si="44"/>
        <v>0</v>
      </c>
      <c r="S105" s="278" t="str">
        <f t="shared" si="45"/>
        <v/>
      </c>
      <c r="T105" s="258">
        <f t="shared" si="46"/>
        <v>0</v>
      </c>
      <c r="U105" s="275" t="str">
        <f t="shared" si="47"/>
        <v/>
      </c>
    </row>
    <row r="106" spans="1:21" x14ac:dyDescent="0.3">
      <c r="B106" s="220" t="s">
        <v>348</v>
      </c>
      <c r="F106" s="300"/>
      <c r="G106" s="270">
        <v>0</v>
      </c>
      <c r="H106" s="185"/>
      <c r="I106" s="185"/>
      <c r="J106" s="185"/>
      <c r="K106" s="22"/>
      <c r="L106" s="271">
        <f t="shared" si="41"/>
        <v>0</v>
      </c>
      <c r="M106" s="252">
        <f t="shared" si="42"/>
        <v>0</v>
      </c>
      <c r="N106" s="252">
        <f t="shared" si="42"/>
        <v>0</v>
      </c>
      <c r="O106" s="252">
        <f t="shared" si="42"/>
        <v>0</v>
      </c>
      <c r="P106" s="254">
        <f t="shared" si="43"/>
        <v>0</v>
      </c>
      <c r="Q106" s="255"/>
      <c r="R106" s="256">
        <f t="shared" si="44"/>
        <v>0</v>
      </c>
      <c r="S106" s="278" t="str">
        <f t="shared" si="45"/>
        <v/>
      </c>
      <c r="T106" s="258">
        <f t="shared" si="46"/>
        <v>0</v>
      </c>
      <c r="U106" s="275" t="str">
        <f t="shared" si="47"/>
        <v/>
      </c>
    </row>
    <row r="107" spans="1:21" x14ac:dyDescent="0.3">
      <c r="B107" s="220" t="s">
        <v>349</v>
      </c>
      <c r="F107" s="300"/>
      <c r="G107" s="270">
        <v>0</v>
      </c>
      <c r="H107" s="185"/>
      <c r="I107" s="185"/>
      <c r="J107" s="185"/>
      <c r="K107" s="22"/>
      <c r="L107" s="271">
        <f t="shared" si="41"/>
        <v>0</v>
      </c>
      <c r="M107" s="252">
        <f t="shared" si="42"/>
        <v>0</v>
      </c>
      <c r="N107" s="252">
        <f t="shared" si="42"/>
        <v>0</v>
      </c>
      <c r="O107" s="252">
        <f t="shared" si="42"/>
        <v>0</v>
      </c>
      <c r="P107" s="254">
        <f t="shared" si="43"/>
        <v>0</v>
      </c>
      <c r="Q107" s="255"/>
      <c r="R107" s="256">
        <f t="shared" si="44"/>
        <v>0</v>
      </c>
      <c r="S107" s="278" t="str">
        <f t="shared" si="45"/>
        <v/>
      </c>
      <c r="T107" s="258">
        <f t="shared" si="46"/>
        <v>0</v>
      </c>
      <c r="U107" s="275" t="str">
        <f t="shared" si="47"/>
        <v/>
      </c>
    </row>
    <row r="108" spans="1:21" x14ac:dyDescent="0.3">
      <c r="F108" s="300"/>
      <c r="G108" s="270"/>
      <c r="H108" s="185"/>
      <c r="I108" s="185"/>
      <c r="J108" s="185"/>
      <c r="K108" s="22"/>
      <c r="L108" s="271"/>
      <c r="M108" s="252"/>
      <c r="N108" s="252"/>
      <c r="O108" s="252"/>
      <c r="P108" s="254"/>
      <c r="Q108" s="255"/>
      <c r="R108" s="256"/>
      <c r="S108" s="257"/>
      <c r="T108" s="258"/>
      <c r="U108" s="275"/>
    </row>
    <row r="109" spans="1:21" x14ac:dyDescent="0.3">
      <c r="B109" s="222" t="s">
        <v>350</v>
      </c>
      <c r="F109" s="300"/>
      <c r="G109" s="280">
        <f t="shared" ref="G109:R109" si="48">SUM(G99:G108)</f>
        <v>18189</v>
      </c>
      <c r="H109" s="188">
        <f>SUM(H99:H108)</f>
        <v>6000</v>
      </c>
      <c r="I109" s="188">
        <f>SUM(I99:I108)</f>
        <v>6000</v>
      </c>
      <c r="J109" s="188">
        <f>SUM(J99:J108)</f>
        <v>18047</v>
      </c>
      <c r="K109" s="53">
        <f>SUM(K99:K108)</f>
        <v>18407</v>
      </c>
      <c r="L109" s="282">
        <f t="shared" si="48"/>
        <v>6000</v>
      </c>
      <c r="M109" s="281">
        <f t="shared" si="48"/>
        <v>0</v>
      </c>
      <c r="N109" s="281">
        <f t="shared" si="48"/>
        <v>12047</v>
      </c>
      <c r="O109" s="281">
        <f t="shared" si="48"/>
        <v>360</v>
      </c>
      <c r="P109" s="283">
        <f t="shared" si="48"/>
        <v>18407</v>
      </c>
      <c r="Q109" s="284">
        <f>SUM(Q99:Q108)</f>
        <v>18000</v>
      </c>
      <c r="R109" s="285">
        <f t="shared" si="48"/>
        <v>407</v>
      </c>
      <c r="S109" s="286">
        <f>IF(Q109=0,"",P109/Q109)</f>
        <v>1.0226111111111111</v>
      </c>
      <c r="T109" s="287">
        <f>SUM(T99:T108)</f>
        <v>218</v>
      </c>
      <c r="U109" s="288">
        <f>IF(G109=0,"",P109/G109)</f>
        <v>1.011985265820001</v>
      </c>
    </row>
    <row r="110" spans="1:21" x14ac:dyDescent="0.3">
      <c r="F110" s="300"/>
      <c r="G110" s="270"/>
      <c r="H110" s="185"/>
      <c r="I110" s="185"/>
      <c r="J110" s="185"/>
      <c r="K110" s="22"/>
      <c r="L110" s="271"/>
      <c r="M110" s="252"/>
      <c r="N110" s="252"/>
      <c r="O110" s="252"/>
      <c r="P110" s="254"/>
      <c r="Q110" s="255"/>
      <c r="R110" s="256"/>
      <c r="S110" s="257"/>
      <c r="T110" s="258"/>
      <c r="U110" s="275"/>
    </row>
    <row r="111" spans="1:21" x14ac:dyDescent="0.3">
      <c r="F111" s="300"/>
      <c r="G111" s="270"/>
      <c r="H111" s="331"/>
      <c r="I111" s="185"/>
      <c r="J111" s="185"/>
      <c r="K111" s="22"/>
      <c r="L111" s="271"/>
      <c r="M111" s="252"/>
      <c r="N111" s="252"/>
      <c r="O111" s="252"/>
      <c r="P111" s="254"/>
      <c r="Q111" s="255"/>
      <c r="R111" s="256"/>
      <c r="S111" s="257"/>
      <c r="T111" s="258"/>
      <c r="U111" s="275"/>
    </row>
    <row r="112" spans="1:21" x14ac:dyDescent="0.3">
      <c r="F112" s="300"/>
      <c r="G112" s="270"/>
      <c r="H112" s="185"/>
      <c r="I112" s="185"/>
      <c r="J112" s="185"/>
      <c r="K112" s="22"/>
      <c r="L112" s="271"/>
      <c r="M112" s="252"/>
      <c r="N112" s="252"/>
      <c r="O112" s="252"/>
      <c r="P112" s="254"/>
      <c r="Q112" s="255"/>
      <c r="R112" s="256"/>
      <c r="S112" s="257"/>
      <c r="T112" s="258"/>
      <c r="U112" s="275"/>
    </row>
    <row r="113" spans="1:21" x14ac:dyDescent="0.3">
      <c r="A113" s="222" t="s">
        <v>351</v>
      </c>
      <c r="F113" s="300"/>
      <c r="G113" s="270"/>
      <c r="H113" s="185"/>
      <c r="I113" s="185"/>
      <c r="J113" s="185"/>
      <c r="K113" s="22"/>
      <c r="L113" s="271"/>
      <c r="M113" s="252"/>
      <c r="N113" s="252"/>
      <c r="O113" s="252"/>
      <c r="P113" s="254"/>
      <c r="Q113" s="255"/>
      <c r="R113" s="256"/>
      <c r="S113" s="257"/>
      <c r="T113" s="258"/>
      <c r="U113" s="275"/>
    </row>
    <row r="114" spans="1:21" outlineLevel="1" x14ac:dyDescent="0.3">
      <c r="A114" s="222"/>
      <c r="B114" s="222" t="s">
        <v>354</v>
      </c>
      <c r="F114" s="300"/>
      <c r="G114" s="270"/>
      <c r="H114" s="185"/>
      <c r="I114" s="185"/>
      <c r="J114" s="185"/>
      <c r="K114" s="22"/>
      <c r="L114" s="271"/>
      <c r="M114" s="252"/>
      <c r="N114" s="252"/>
      <c r="O114" s="252"/>
      <c r="P114" s="254"/>
      <c r="Q114" s="255"/>
      <c r="R114" s="256"/>
      <c r="S114" s="257"/>
      <c r="T114" s="258"/>
      <c r="U114" s="275"/>
    </row>
    <row r="115" spans="1:21" outlineLevel="1" x14ac:dyDescent="0.3">
      <c r="A115" s="222"/>
      <c r="C115" s="220" t="s">
        <v>355</v>
      </c>
      <c r="F115" s="300"/>
      <c r="G115" s="270">
        <v>0</v>
      </c>
      <c r="H115" s="185"/>
      <c r="I115" s="185"/>
      <c r="J115" s="185"/>
      <c r="K115" s="22"/>
      <c r="L115" s="271">
        <f t="shared" ref="L115:L130" si="49">+H115</f>
        <v>0</v>
      </c>
      <c r="M115" s="252">
        <f t="shared" ref="M115:O130" si="50">IF(I115=0,0,I115-H115)</f>
        <v>0</v>
      </c>
      <c r="N115" s="252">
        <f t="shared" si="50"/>
        <v>0</v>
      </c>
      <c r="O115" s="252">
        <f t="shared" si="50"/>
        <v>0</v>
      </c>
      <c r="P115" s="254">
        <f t="shared" ref="P115:P130" si="51">SUM(L115:O115)</f>
        <v>0</v>
      </c>
      <c r="Q115" s="255"/>
      <c r="R115" s="256">
        <f t="shared" ref="R115:R130" si="52">P115-Q115</f>
        <v>0</v>
      </c>
      <c r="S115" s="278" t="str">
        <f t="shared" ref="S115:S130" si="53">IF(Q115=0,"",P115/Q115)</f>
        <v/>
      </c>
      <c r="T115" s="258">
        <f t="shared" ref="T115:T130" si="54">P115-G115</f>
        <v>0</v>
      </c>
      <c r="U115" s="275" t="str">
        <f t="shared" ref="U115:U130" si="55">IF(G115=0,"",P115/G115)</f>
        <v/>
      </c>
    </row>
    <row r="116" spans="1:21" outlineLevel="1" x14ac:dyDescent="0.3">
      <c r="A116" s="222"/>
      <c r="C116" s="220" t="s">
        <v>308</v>
      </c>
      <c r="F116" s="300"/>
      <c r="G116" s="270">
        <v>0</v>
      </c>
      <c r="H116" s="185"/>
      <c r="I116" s="185"/>
      <c r="J116" s="185"/>
      <c r="K116" s="22"/>
      <c r="L116" s="271">
        <f t="shared" si="49"/>
        <v>0</v>
      </c>
      <c r="M116" s="252">
        <f t="shared" si="50"/>
        <v>0</v>
      </c>
      <c r="N116" s="252">
        <f t="shared" si="50"/>
        <v>0</v>
      </c>
      <c r="O116" s="252">
        <f t="shared" si="50"/>
        <v>0</v>
      </c>
      <c r="P116" s="254">
        <f t="shared" si="51"/>
        <v>0</v>
      </c>
      <c r="Q116" s="255"/>
      <c r="R116" s="256">
        <f t="shared" si="52"/>
        <v>0</v>
      </c>
      <c r="S116" s="278" t="str">
        <f t="shared" si="53"/>
        <v/>
      </c>
      <c r="T116" s="258">
        <f t="shared" si="54"/>
        <v>0</v>
      </c>
      <c r="U116" s="275" t="str">
        <f t="shared" si="55"/>
        <v/>
      </c>
    </row>
    <row r="117" spans="1:21" outlineLevel="1" x14ac:dyDescent="0.3">
      <c r="A117" s="222"/>
      <c r="C117" s="220" t="s">
        <v>309</v>
      </c>
      <c r="F117" s="300"/>
      <c r="G117" s="270">
        <v>0</v>
      </c>
      <c r="H117" s="185"/>
      <c r="I117" s="185"/>
      <c r="J117" s="185"/>
      <c r="K117" s="22"/>
      <c r="L117" s="271">
        <f t="shared" si="49"/>
        <v>0</v>
      </c>
      <c r="M117" s="252">
        <f t="shared" si="50"/>
        <v>0</v>
      </c>
      <c r="N117" s="252">
        <f t="shared" si="50"/>
        <v>0</v>
      </c>
      <c r="O117" s="252">
        <f t="shared" si="50"/>
        <v>0</v>
      </c>
      <c r="P117" s="254">
        <f t="shared" si="51"/>
        <v>0</v>
      </c>
      <c r="Q117" s="255"/>
      <c r="R117" s="256">
        <f t="shared" si="52"/>
        <v>0</v>
      </c>
      <c r="S117" s="278" t="str">
        <f t="shared" si="53"/>
        <v/>
      </c>
      <c r="T117" s="258">
        <f t="shared" si="54"/>
        <v>0</v>
      </c>
      <c r="U117" s="275" t="str">
        <f t="shared" si="55"/>
        <v/>
      </c>
    </row>
    <row r="118" spans="1:21" outlineLevel="1" x14ac:dyDescent="0.3">
      <c r="A118" s="222"/>
      <c r="C118" s="220" t="s">
        <v>310</v>
      </c>
      <c r="F118" s="300"/>
      <c r="G118" s="270">
        <v>0</v>
      </c>
      <c r="H118" s="185"/>
      <c r="I118" s="185"/>
      <c r="J118" s="185"/>
      <c r="K118" s="22"/>
      <c r="L118" s="271">
        <f t="shared" si="49"/>
        <v>0</v>
      </c>
      <c r="M118" s="252">
        <f t="shared" si="50"/>
        <v>0</v>
      </c>
      <c r="N118" s="252">
        <f t="shared" si="50"/>
        <v>0</v>
      </c>
      <c r="O118" s="252">
        <f t="shared" si="50"/>
        <v>0</v>
      </c>
      <c r="P118" s="254">
        <f t="shared" si="51"/>
        <v>0</v>
      </c>
      <c r="Q118" s="255"/>
      <c r="R118" s="256">
        <f t="shared" si="52"/>
        <v>0</v>
      </c>
      <c r="S118" s="278" t="str">
        <f t="shared" si="53"/>
        <v/>
      </c>
      <c r="T118" s="258">
        <f t="shared" si="54"/>
        <v>0</v>
      </c>
      <c r="U118" s="275" t="str">
        <f t="shared" si="55"/>
        <v/>
      </c>
    </row>
    <row r="119" spans="1:21" outlineLevel="1" x14ac:dyDescent="0.3">
      <c r="A119" s="222"/>
      <c r="C119" s="220" t="s">
        <v>417</v>
      </c>
      <c r="F119" s="300"/>
      <c r="G119" s="270">
        <v>0</v>
      </c>
      <c r="H119" s="185"/>
      <c r="I119" s="185"/>
      <c r="J119" s="185"/>
      <c r="K119" s="22"/>
      <c r="L119" s="271">
        <f t="shared" si="49"/>
        <v>0</v>
      </c>
      <c r="M119" s="252">
        <f t="shared" si="50"/>
        <v>0</v>
      </c>
      <c r="N119" s="252">
        <f t="shared" si="50"/>
        <v>0</v>
      </c>
      <c r="O119" s="252">
        <f t="shared" si="50"/>
        <v>0</v>
      </c>
      <c r="P119" s="254">
        <f t="shared" si="51"/>
        <v>0</v>
      </c>
      <c r="Q119" s="255"/>
      <c r="R119" s="256">
        <f t="shared" si="52"/>
        <v>0</v>
      </c>
      <c r="S119" s="278" t="str">
        <f t="shared" si="53"/>
        <v/>
      </c>
      <c r="T119" s="258">
        <f t="shared" si="54"/>
        <v>0</v>
      </c>
      <c r="U119" s="275" t="str">
        <f t="shared" si="55"/>
        <v/>
      </c>
    </row>
    <row r="120" spans="1:21" outlineLevel="1" x14ac:dyDescent="0.3">
      <c r="A120" s="222"/>
      <c r="C120" s="220" t="s">
        <v>76</v>
      </c>
      <c r="F120" s="300"/>
      <c r="G120" s="270">
        <v>0</v>
      </c>
      <c r="H120" s="185"/>
      <c r="I120" s="185"/>
      <c r="J120" s="185"/>
      <c r="K120" s="22"/>
      <c r="L120" s="271">
        <f t="shared" si="49"/>
        <v>0</v>
      </c>
      <c r="M120" s="252">
        <f t="shared" si="50"/>
        <v>0</v>
      </c>
      <c r="N120" s="252">
        <f t="shared" si="50"/>
        <v>0</v>
      </c>
      <c r="O120" s="252">
        <f t="shared" si="50"/>
        <v>0</v>
      </c>
      <c r="P120" s="254">
        <f t="shared" si="51"/>
        <v>0</v>
      </c>
      <c r="Q120" s="255"/>
      <c r="R120" s="256">
        <f t="shared" si="52"/>
        <v>0</v>
      </c>
      <c r="S120" s="278" t="str">
        <f t="shared" si="53"/>
        <v/>
      </c>
      <c r="T120" s="258">
        <f t="shared" si="54"/>
        <v>0</v>
      </c>
      <c r="U120" s="275" t="str">
        <f t="shared" si="55"/>
        <v/>
      </c>
    </row>
    <row r="121" spans="1:21" outlineLevel="1" x14ac:dyDescent="0.3">
      <c r="A121" s="222"/>
      <c r="C121" s="220" t="s">
        <v>77</v>
      </c>
      <c r="F121" s="300"/>
      <c r="G121" s="270">
        <v>0</v>
      </c>
      <c r="H121" s="185"/>
      <c r="I121" s="185"/>
      <c r="J121" s="185"/>
      <c r="K121" s="22"/>
      <c r="L121" s="271">
        <f t="shared" si="49"/>
        <v>0</v>
      </c>
      <c r="M121" s="252">
        <f t="shared" si="50"/>
        <v>0</v>
      </c>
      <c r="N121" s="252">
        <f t="shared" si="50"/>
        <v>0</v>
      </c>
      <c r="O121" s="252">
        <f t="shared" si="50"/>
        <v>0</v>
      </c>
      <c r="P121" s="254">
        <f t="shared" si="51"/>
        <v>0</v>
      </c>
      <c r="Q121" s="255"/>
      <c r="R121" s="256">
        <f t="shared" si="52"/>
        <v>0</v>
      </c>
      <c r="S121" s="278" t="str">
        <f t="shared" si="53"/>
        <v/>
      </c>
      <c r="T121" s="258">
        <f t="shared" si="54"/>
        <v>0</v>
      </c>
      <c r="U121" s="275" t="str">
        <f t="shared" si="55"/>
        <v/>
      </c>
    </row>
    <row r="122" spans="1:21" outlineLevel="1" x14ac:dyDescent="0.3">
      <c r="A122" s="222"/>
      <c r="C122" s="220" t="s">
        <v>431</v>
      </c>
      <c r="F122" s="300"/>
      <c r="G122" s="270">
        <v>-3365.94</v>
      </c>
      <c r="H122" s="185"/>
      <c r="I122" s="185"/>
      <c r="J122" s="185"/>
      <c r="K122" s="22"/>
      <c r="L122" s="271">
        <f t="shared" si="49"/>
        <v>0</v>
      </c>
      <c r="M122" s="252">
        <f t="shared" si="50"/>
        <v>0</v>
      </c>
      <c r="N122" s="252">
        <f t="shared" si="50"/>
        <v>0</v>
      </c>
      <c r="O122" s="252">
        <f t="shared" si="50"/>
        <v>0</v>
      </c>
      <c r="P122" s="254">
        <f t="shared" si="51"/>
        <v>0</v>
      </c>
      <c r="Q122" s="255"/>
      <c r="R122" s="256">
        <f t="shared" si="52"/>
        <v>0</v>
      </c>
      <c r="S122" s="278" t="str">
        <f t="shared" si="53"/>
        <v/>
      </c>
      <c r="T122" s="258">
        <f t="shared" si="54"/>
        <v>3365.94</v>
      </c>
      <c r="U122" s="275">
        <f t="shared" si="55"/>
        <v>0</v>
      </c>
    </row>
    <row r="123" spans="1:21" outlineLevel="1" x14ac:dyDescent="0.3">
      <c r="A123" s="222"/>
      <c r="C123" s="220" t="s">
        <v>435</v>
      </c>
      <c r="F123" s="300"/>
      <c r="G123" s="270">
        <v>3177.58</v>
      </c>
      <c r="H123" s="185"/>
      <c r="I123" s="185"/>
      <c r="J123" s="185"/>
      <c r="K123" s="22"/>
      <c r="L123" s="271">
        <f t="shared" si="49"/>
        <v>0</v>
      </c>
      <c r="M123" s="252">
        <f t="shared" si="50"/>
        <v>0</v>
      </c>
      <c r="N123" s="252">
        <f t="shared" si="50"/>
        <v>0</v>
      </c>
      <c r="O123" s="252">
        <f t="shared" si="50"/>
        <v>0</v>
      </c>
      <c r="P123" s="254">
        <f t="shared" si="51"/>
        <v>0</v>
      </c>
      <c r="Q123" s="255"/>
      <c r="R123" s="256">
        <f t="shared" si="52"/>
        <v>0</v>
      </c>
      <c r="S123" s="278" t="str">
        <f t="shared" si="53"/>
        <v/>
      </c>
      <c r="T123" s="258">
        <f t="shared" si="54"/>
        <v>-3177.58</v>
      </c>
      <c r="U123" s="275">
        <f t="shared" si="55"/>
        <v>0</v>
      </c>
    </row>
    <row r="124" spans="1:21" outlineLevel="1" x14ac:dyDescent="0.3">
      <c r="A124" s="222"/>
      <c r="C124" s="220" t="s">
        <v>436</v>
      </c>
      <c r="F124" s="300"/>
      <c r="G124" s="270">
        <v>1139.83</v>
      </c>
      <c r="H124" s="185"/>
      <c r="I124" s="185"/>
      <c r="J124" s="185"/>
      <c r="K124" s="22"/>
      <c r="L124" s="271">
        <f t="shared" si="49"/>
        <v>0</v>
      </c>
      <c r="M124" s="252">
        <f t="shared" si="50"/>
        <v>0</v>
      </c>
      <c r="N124" s="252">
        <f t="shared" si="50"/>
        <v>0</v>
      </c>
      <c r="O124" s="252">
        <f t="shared" si="50"/>
        <v>0</v>
      </c>
      <c r="P124" s="254">
        <f t="shared" si="51"/>
        <v>0</v>
      </c>
      <c r="Q124" s="255"/>
      <c r="R124" s="256">
        <f t="shared" si="52"/>
        <v>0</v>
      </c>
      <c r="S124" s="278" t="str">
        <f t="shared" si="53"/>
        <v/>
      </c>
      <c r="T124" s="258">
        <f t="shared" si="54"/>
        <v>-1139.83</v>
      </c>
      <c r="U124" s="275">
        <f t="shared" si="55"/>
        <v>0</v>
      </c>
    </row>
    <row r="125" spans="1:21" outlineLevel="1" x14ac:dyDescent="0.3">
      <c r="A125" s="222"/>
      <c r="C125" s="220" t="s">
        <v>437</v>
      </c>
      <c r="F125" s="300"/>
      <c r="G125" s="270">
        <v>0</v>
      </c>
      <c r="H125" s="185"/>
      <c r="I125" s="185">
        <v>1800</v>
      </c>
      <c r="J125" s="185">
        <v>4010</v>
      </c>
      <c r="K125" s="22">
        <v>4010</v>
      </c>
      <c r="L125" s="271">
        <f t="shared" si="49"/>
        <v>0</v>
      </c>
      <c r="M125" s="252">
        <f t="shared" si="50"/>
        <v>1800</v>
      </c>
      <c r="N125" s="252">
        <f t="shared" si="50"/>
        <v>2210</v>
      </c>
      <c r="O125" s="252">
        <f t="shared" si="50"/>
        <v>0</v>
      </c>
      <c r="P125" s="254">
        <f t="shared" si="51"/>
        <v>4010</v>
      </c>
      <c r="Q125" s="255"/>
      <c r="R125" s="256">
        <f t="shared" si="52"/>
        <v>4010</v>
      </c>
      <c r="S125" s="278" t="str">
        <f t="shared" si="53"/>
        <v/>
      </c>
      <c r="T125" s="258">
        <f t="shared" si="54"/>
        <v>4010</v>
      </c>
      <c r="U125" s="275" t="str">
        <f t="shared" si="55"/>
        <v/>
      </c>
    </row>
    <row r="126" spans="1:21" outlineLevel="1" x14ac:dyDescent="0.3">
      <c r="A126" s="222"/>
      <c r="C126" s="220" t="s">
        <v>438</v>
      </c>
      <c r="F126" s="300"/>
      <c r="G126" s="270">
        <v>0</v>
      </c>
      <c r="H126" s="185"/>
      <c r="I126" s="185"/>
      <c r="J126" s="185"/>
      <c r="K126" s="22"/>
      <c r="L126" s="271">
        <f t="shared" si="49"/>
        <v>0</v>
      </c>
      <c r="M126" s="252">
        <f t="shared" si="50"/>
        <v>0</v>
      </c>
      <c r="N126" s="252">
        <f t="shared" si="50"/>
        <v>0</v>
      </c>
      <c r="O126" s="252">
        <f t="shared" si="50"/>
        <v>0</v>
      </c>
      <c r="P126" s="254">
        <f t="shared" si="51"/>
        <v>0</v>
      </c>
      <c r="Q126" s="255">
        <v>10000</v>
      </c>
      <c r="R126" s="256">
        <f t="shared" si="52"/>
        <v>-10000</v>
      </c>
      <c r="S126" s="278">
        <f t="shared" si="53"/>
        <v>0</v>
      </c>
      <c r="T126" s="258">
        <f t="shared" si="54"/>
        <v>0</v>
      </c>
      <c r="U126" s="275" t="str">
        <f t="shared" si="55"/>
        <v/>
      </c>
    </row>
    <row r="127" spans="1:21" outlineLevel="1" x14ac:dyDescent="0.3">
      <c r="A127" s="222"/>
      <c r="C127" s="220" t="s">
        <v>439</v>
      </c>
      <c r="F127" s="300"/>
      <c r="G127" s="270">
        <v>0</v>
      </c>
      <c r="H127" s="185">
        <v>789</v>
      </c>
      <c r="I127" s="185">
        <f>2588.93-1800</f>
        <v>788.92999999999984</v>
      </c>
      <c r="J127" s="185">
        <v>789</v>
      </c>
      <c r="K127" s="22">
        <v>789</v>
      </c>
      <c r="L127" s="271">
        <f t="shared" si="49"/>
        <v>789</v>
      </c>
      <c r="M127" s="252">
        <f t="shared" si="50"/>
        <v>-7.0000000000163709E-2</v>
      </c>
      <c r="N127" s="252">
        <f t="shared" si="50"/>
        <v>7.0000000000163709E-2</v>
      </c>
      <c r="O127" s="252">
        <f t="shared" si="50"/>
        <v>0</v>
      </c>
      <c r="P127" s="254">
        <f t="shared" si="51"/>
        <v>789</v>
      </c>
      <c r="Q127" s="255"/>
      <c r="R127" s="256">
        <f t="shared" si="52"/>
        <v>789</v>
      </c>
      <c r="S127" s="278" t="str">
        <f t="shared" si="53"/>
        <v/>
      </c>
      <c r="T127" s="258">
        <f t="shared" si="54"/>
        <v>789</v>
      </c>
      <c r="U127" s="275" t="str">
        <f t="shared" si="55"/>
        <v/>
      </c>
    </row>
    <row r="128" spans="1:21" outlineLevel="1" x14ac:dyDescent="0.3">
      <c r="A128" s="222"/>
      <c r="C128" s="220" t="s">
        <v>440</v>
      </c>
      <c r="F128" s="300"/>
      <c r="G128" s="270">
        <v>0</v>
      </c>
      <c r="H128" s="185"/>
      <c r="I128" s="185"/>
      <c r="J128" s="185"/>
      <c r="K128" s="22"/>
      <c r="L128" s="271">
        <f t="shared" si="49"/>
        <v>0</v>
      </c>
      <c r="M128" s="252">
        <f t="shared" si="50"/>
        <v>0</v>
      </c>
      <c r="N128" s="252">
        <f t="shared" si="50"/>
        <v>0</v>
      </c>
      <c r="O128" s="252">
        <f t="shared" si="50"/>
        <v>0</v>
      </c>
      <c r="P128" s="254">
        <f t="shared" si="51"/>
        <v>0</v>
      </c>
      <c r="Q128" s="255">
        <v>1000</v>
      </c>
      <c r="R128" s="256">
        <f t="shared" si="52"/>
        <v>-1000</v>
      </c>
      <c r="S128" s="278">
        <f t="shared" si="53"/>
        <v>0</v>
      </c>
      <c r="T128" s="258">
        <f t="shared" si="54"/>
        <v>0</v>
      </c>
      <c r="U128" s="275" t="str">
        <f t="shared" si="55"/>
        <v/>
      </c>
    </row>
    <row r="129" spans="1:21" outlineLevel="1" x14ac:dyDescent="0.3">
      <c r="A129" s="222"/>
      <c r="C129" s="220" t="s">
        <v>441</v>
      </c>
      <c r="F129" s="300"/>
      <c r="G129" s="270">
        <v>0</v>
      </c>
      <c r="H129" s="185"/>
      <c r="I129" s="185"/>
      <c r="J129" s="185"/>
      <c r="K129" s="22"/>
      <c r="L129" s="271">
        <f t="shared" si="49"/>
        <v>0</v>
      </c>
      <c r="M129" s="252">
        <f t="shared" si="50"/>
        <v>0</v>
      </c>
      <c r="N129" s="252">
        <f t="shared" si="50"/>
        <v>0</v>
      </c>
      <c r="O129" s="252">
        <f t="shared" si="50"/>
        <v>0</v>
      </c>
      <c r="P129" s="254">
        <f t="shared" si="51"/>
        <v>0</v>
      </c>
      <c r="Q129" s="255">
        <v>10000</v>
      </c>
      <c r="R129" s="256">
        <f t="shared" si="52"/>
        <v>-10000</v>
      </c>
      <c r="S129" s="278">
        <f t="shared" si="53"/>
        <v>0</v>
      </c>
      <c r="T129" s="258">
        <f t="shared" si="54"/>
        <v>0</v>
      </c>
      <c r="U129" s="275" t="str">
        <f t="shared" si="55"/>
        <v/>
      </c>
    </row>
    <row r="130" spans="1:21" outlineLevel="1" x14ac:dyDescent="0.3">
      <c r="A130" s="222"/>
      <c r="F130" s="300"/>
      <c r="G130" s="270">
        <v>0</v>
      </c>
      <c r="H130" s="185"/>
      <c r="I130" s="185"/>
      <c r="J130" s="185"/>
      <c r="K130" s="22"/>
      <c r="L130" s="271">
        <f t="shared" si="49"/>
        <v>0</v>
      </c>
      <c r="M130" s="252">
        <f t="shared" si="50"/>
        <v>0</v>
      </c>
      <c r="N130" s="252">
        <f t="shared" si="50"/>
        <v>0</v>
      </c>
      <c r="O130" s="252">
        <f t="shared" si="50"/>
        <v>0</v>
      </c>
      <c r="P130" s="254">
        <f t="shared" si="51"/>
        <v>0</v>
      </c>
      <c r="Q130" s="255"/>
      <c r="R130" s="256">
        <f t="shared" si="52"/>
        <v>0</v>
      </c>
      <c r="S130" s="278" t="str">
        <f t="shared" si="53"/>
        <v/>
      </c>
      <c r="T130" s="258">
        <f t="shared" si="54"/>
        <v>0</v>
      </c>
      <c r="U130" s="275" t="str">
        <f t="shared" si="55"/>
        <v/>
      </c>
    </row>
    <row r="131" spans="1:21" outlineLevel="1" x14ac:dyDescent="0.3">
      <c r="A131" s="222"/>
      <c r="F131" s="300"/>
      <c r="G131" s="270"/>
      <c r="H131" s="185"/>
      <c r="I131" s="185"/>
      <c r="J131" s="185"/>
      <c r="K131" s="22"/>
      <c r="L131" s="271"/>
      <c r="M131" s="252"/>
      <c r="N131" s="252"/>
      <c r="O131" s="252"/>
      <c r="P131" s="254"/>
      <c r="Q131" s="255"/>
      <c r="R131" s="256"/>
      <c r="S131" s="257"/>
      <c r="T131" s="258"/>
      <c r="U131" s="275"/>
    </row>
    <row r="132" spans="1:21" x14ac:dyDescent="0.3">
      <c r="A132" s="222"/>
      <c r="C132" s="222" t="s">
        <v>311</v>
      </c>
      <c r="F132" s="300"/>
      <c r="G132" s="261">
        <f t="shared" ref="G132:R132" si="56">SUM(G115:G131)</f>
        <v>951.4699999999998</v>
      </c>
      <c r="H132" s="186">
        <f>SUM(H115:H131)</f>
        <v>789</v>
      </c>
      <c r="I132" s="186">
        <f>SUM(I115:I131)</f>
        <v>2588.9299999999998</v>
      </c>
      <c r="J132" s="186">
        <f>SUM(J115:J131)</f>
        <v>4799</v>
      </c>
      <c r="K132" s="45">
        <f>SUM(K115:K131)</f>
        <v>4799</v>
      </c>
      <c r="L132" s="263">
        <f t="shared" si="56"/>
        <v>789</v>
      </c>
      <c r="M132" s="262">
        <f t="shared" si="56"/>
        <v>1799.9299999999998</v>
      </c>
      <c r="N132" s="262">
        <f t="shared" si="56"/>
        <v>2210.0700000000002</v>
      </c>
      <c r="O132" s="262">
        <f t="shared" si="56"/>
        <v>0</v>
      </c>
      <c r="P132" s="264">
        <f t="shared" si="56"/>
        <v>4799</v>
      </c>
      <c r="Q132" s="264">
        <f t="shared" si="56"/>
        <v>21000</v>
      </c>
      <c r="R132" s="266">
        <f t="shared" si="56"/>
        <v>-16201</v>
      </c>
      <c r="S132" s="276">
        <f>IF(Q132=0,"",P132/Q132)</f>
        <v>0.22852380952380952</v>
      </c>
      <c r="T132" s="268">
        <f>SUM(T115:T131)</f>
        <v>3847.53</v>
      </c>
      <c r="U132" s="310">
        <f>IF(G132=0,"",P132/G132)</f>
        <v>5.0437743701850835</v>
      </c>
    </row>
    <row r="133" spans="1:21" x14ac:dyDescent="0.3">
      <c r="A133" s="222"/>
      <c r="F133" s="300"/>
      <c r="G133" s="270"/>
      <c r="H133" s="185"/>
      <c r="I133" s="185"/>
      <c r="J133" s="185"/>
      <c r="K133" s="22"/>
      <c r="L133" s="271"/>
      <c r="M133" s="252"/>
      <c r="N133" s="252"/>
      <c r="O133" s="252"/>
      <c r="P133" s="254"/>
      <c r="Q133" s="255"/>
      <c r="R133" s="256"/>
      <c r="S133" s="257"/>
      <c r="T133" s="258"/>
      <c r="U133" s="275"/>
    </row>
    <row r="134" spans="1:21" x14ac:dyDescent="0.3">
      <c r="B134" s="222" t="s">
        <v>306</v>
      </c>
      <c r="F134" s="300"/>
      <c r="G134" s="270"/>
      <c r="H134" s="185"/>
      <c r="I134" s="185"/>
      <c r="J134" s="185"/>
      <c r="K134" s="22"/>
      <c r="L134" s="271"/>
      <c r="M134" s="252"/>
      <c r="N134" s="252"/>
      <c r="O134" s="252"/>
      <c r="P134" s="254"/>
      <c r="Q134" s="255"/>
      <c r="R134" s="256">
        <f>P134-Q134</f>
        <v>0</v>
      </c>
      <c r="S134" s="278" t="str">
        <f>IF(Q134=0,"",P134/Q134)</f>
        <v/>
      </c>
      <c r="T134" s="258">
        <f>P134-G134</f>
        <v>0</v>
      </c>
      <c r="U134" s="275" t="str">
        <f>IF(G134=0,"",P134/G134)</f>
        <v/>
      </c>
    </row>
    <row r="135" spans="1:21" x14ac:dyDescent="0.3">
      <c r="C135" s="220" t="s">
        <v>312</v>
      </c>
      <c r="F135" s="300"/>
      <c r="G135" s="270">
        <v>7933</v>
      </c>
      <c r="H135" s="187"/>
      <c r="I135" s="185">
        <v>8234</v>
      </c>
      <c r="J135" s="185">
        <v>8234</v>
      </c>
      <c r="K135" s="22">
        <v>8234</v>
      </c>
      <c r="L135" s="271">
        <f>+H135</f>
        <v>0</v>
      </c>
      <c r="M135" s="252">
        <f t="shared" ref="M135:O138" si="57">IF(I135=0,0,I135-H135)</f>
        <v>8234</v>
      </c>
      <c r="N135" s="252">
        <f t="shared" si="57"/>
        <v>0</v>
      </c>
      <c r="O135" s="252">
        <f t="shared" si="57"/>
        <v>0</v>
      </c>
      <c r="P135" s="254">
        <f>SUM(L135:O135)</f>
        <v>8234</v>
      </c>
      <c r="Q135" s="255">
        <v>7934</v>
      </c>
      <c r="R135" s="256">
        <f>P135-Q135</f>
        <v>300</v>
      </c>
      <c r="S135" s="278">
        <f>IF(Q135=0,"",P135/Q135)</f>
        <v>1.03781194857575</v>
      </c>
      <c r="T135" s="258">
        <f>P135-G135</f>
        <v>301</v>
      </c>
      <c r="U135" s="275">
        <f>IF(G135=0,"",P135/G135)</f>
        <v>1.0379427707046514</v>
      </c>
    </row>
    <row r="136" spans="1:21" x14ac:dyDescent="0.3">
      <c r="C136" s="220" t="s">
        <v>313</v>
      </c>
      <c r="F136" s="300"/>
      <c r="G136" s="270">
        <v>0</v>
      </c>
      <c r="H136" s="187"/>
      <c r="I136" s="187"/>
      <c r="J136" s="185"/>
      <c r="K136" s="22"/>
      <c r="L136" s="271">
        <f>+H136</f>
        <v>0</v>
      </c>
      <c r="M136" s="252">
        <f t="shared" si="57"/>
        <v>0</v>
      </c>
      <c r="N136" s="252">
        <f t="shared" si="57"/>
        <v>0</v>
      </c>
      <c r="O136" s="252">
        <f t="shared" si="57"/>
        <v>0</v>
      </c>
      <c r="P136" s="254">
        <f>SUM(L136:O136)</f>
        <v>0</v>
      </c>
      <c r="Q136" s="255"/>
      <c r="R136" s="256">
        <f>P136-Q136</f>
        <v>0</v>
      </c>
      <c r="S136" s="278" t="str">
        <f>IF(Q136=0,"",P136/Q136)</f>
        <v/>
      </c>
      <c r="T136" s="258">
        <f>P136-G136</f>
        <v>0</v>
      </c>
      <c r="U136" s="275" t="str">
        <f>IF(G136=0,"",P136/G136)</f>
        <v/>
      </c>
    </row>
    <row r="137" spans="1:21" x14ac:dyDescent="0.3">
      <c r="C137" s="220" t="s">
        <v>314</v>
      </c>
      <c r="F137" s="300"/>
      <c r="G137" s="270">
        <v>0</v>
      </c>
      <c r="H137" s="187"/>
      <c r="I137" s="187"/>
      <c r="J137" s="187"/>
      <c r="K137" s="22"/>
      <c r="L137" s="271">
        <f>+H137</f>
        <v>0</v>
      </c>
      <c r="M137" s="252">
        <f t="shared" si="57"/>
        <v>0</v>
      </c>
      <c r="N137" s="252">
        <f t="shared" si="57"/>
        <v>0</v>
      </c>
      <c r="O137" s="252">
        <f t="shared" si="57"/>
        <v>0</v>
      </c>
      <c r="P137" s="254">
        <f>SUM(L137:O137)</f>
        <v>0</v>
      </c>
      <c r="Q137" s="255"/>
      <c r="R137" s="256">
        <f>P137-Q137</f>
        <v>0</v>
      </c>
      <c r="S137" s="278" t="str">
        <f>IF(Q137=0,"",P137/Q137)</f>
        <v/>
      </c>
      <c r="T137" s="258">
        <f>P137-G137</f>
        <v>0</v>
      </c>
      <c r="U137" s="275" t="str">
        <f>IF(G137=0,"",P137/G137)</f>
        <v/>
      </c>
    </row>
    <row r="138" spans="1:21" x14ac:dyDescent="0.3">
      <c r="C138" s="220" t="s">
        <v>315</v>
      </c>
      <c r="F138" s="300"/>
      <c r="G138" s="270">
        <v>0</v>
      </c>
      <c r="H138" s="187"/>
      <c r="I138" s="187"/>
      <c r="J138" s="187"/>
      <c r="K138" s="22"/>
      <c r="L138" s="271">
        <f>+H138</f>
        <v>0</v>
      </c>
      <c r="M138" s="252">
        <f t="shared" si="57"/>
        <v>0</v>
      </c>
      <c r="N138" s="252">
        <f t="shared" si="57"/>
        <v>0</v>
      </c>
      <c r="O138" s="252">
        <f t="shared" si="57"/>
        <v>0</v>
      </c>
      <c r="P138" s="254">
        <f>SUM(L138:O138)</f>
        <v>0</v>
      </c>
      <c r="Q138" s="255"/>
      <c r="R138" s="256">
        <f>P138-Q138</f>
        <v>0</v>
      </c>
      <c r="S138" s="278" t="str">
        <f>IF(Q138=0,"",P138/Q138)</f>
        <v/>
      </c>
      <c r="T138" s="258">
        <f>P138-G138</f>
        <v>0</v>
      </c>
      <c r="U138" s="275" t="str">
        <f>IF(G138=0,"",P138/G138)</f>
        <v/>
      </c>
    </row>
    <row r="139" spans="1:21" x14ac:dyDescent="0.3">
      <c r="F139" s="300"/>
      <c r="G139" s="270"/>
      <c r="H139" s="185"/>
      <c r="I139" s="185"/>
      <c r="J139" s="185"/>
      <c r="K139" s="22"/>
      <c r="L139" s="271"/>
      <c r="M139" s="252"/>
      <c r="N139" s="252"/>
      <c r="O139" s="252"/>
      <c r="P139" s="254"/>
      <c r="Q139" s="255"/>
      <c r="R139" s="256"/>
      <c r="S139" s="257"/>
      <c r="T139" s="258"/>
      <c r="U139" s="275"/>
    </row>
    <row r="140" spans="1:21" x14ac:dyDescent="0.3">
      <c r="C140" s="222" t="s">
        <v>316</v>
      </c>
      <c r="F140" s="300">
        <v>8520</v>
      </c>
      <c r="G140" s="261">
        <f t="shared" ref="G140:P140" si="58">SUM(G135:G139)</f>
        <v>7933</v>
      </c>
      <c r="H140" s="186">
        <f>SUM(H135:H139)</f>
        <v>0</v>
      </c>
      <c r="I140" s="186">
        <f>SUM(I135:I139)</f>
        <v>8234</v>
      </c>
      <c r="J140" s="186">
        <f>SUM(J135:J139)</f>
        <v>8234</v>
      </c>
      <c r="K140" s="45">
        <f>SUM(K135:K139)</f>
        <v>8234</v>
      </c>
      <c r="L140" s="263">
        <f t="shared" si="58"/>
        <v>0</v>
      </c>
      <c r="M140" s="262">
        <f t="shared" si="58"/>
        <v>8234</v>
      </c>
      <c r="N140" s="262">
        <f t="shared" si="58"/>
        <v>0</v>
      </c>
      <c r="O140" s="262">
        <f t="shared" si="58"/>
        <v>0</v>
      </c>
      <c r="P140" s="264">
        <f t="shared" si="58"/>
        <v>8234</v>
      </c>
      <c r="Q140" s="265">
        <f>SUM(Q135:Q139)</f>
        <v>7934</v>
      </c>
      <c r="R140" s="266">
        <f>SUM(R134:R139)</f>
        <v>300</v>
      </c>
      <c r="S140" s="276">
        <f>IF(Q140=0,"",P140/Q140)</f>
        <v>1.03781194857575</v>
      </c>
      <c r="T140" s="268">
        <f>SUM(T134:T139)</f>
        <v>301</v>
      </c>
      <c r="U140" s="310">
        <f>IF(G140=0,"",P140/G140)</f>
        <v>1.0379427707046514</v>
      </c>
    </row>
    <row r="141" spans="1:21" x14ac:dyDescent="0.3">
      <c r="F141" s="300"/>
      <c r="G141" s="270"/>
      <c r="H141" s="185"/>
      <c r="I141" s="185"/>
      <c r="J141" s="185"/>
      <c r="K141" s="22"/>
      <c r="L141" s="271"/>
      <c r="M141" s="252"/>
      <c r="N141" s="252"/>
      <c r="O141" s="252"/>
      <c r="P141" s="254"/>
      <c r="Q141" s="255"/>
      <c r="R141" s="256"/>
      <c r="S141" s="257"/>
      <c r="T141" s="258"/>
      <c r="U141" s="275"/>
    </row>
    <row r="142" spans="1:21" x14ac:dyDescent="0.3">
      <c r="B142" s="222" t="s">
        <v>304</v>
      </c>
      <c r="F142" s="300"/>
      <c r="G142" s="270"/>
      <c r="H142" s="185"/>
      <c r="I142" s="185"/>
      <c r="J142" s="185"/>
      <c r="K142" s="22"/>
      <c r="L142" s="271"/>
      <c r="M142" s="252"/>
      <c r="N142" s="252"/>
      <c r="O142" s="252"/>
      <c r="P142" s="254"/>
      <c r="Q142" s="255"/>
      <c r="R142" s="256"/>
      <c r="S142" s="257"/>
      <c r="T142" s="258"/>
      <c r="U142" s="275"/>
    </row>
    <row r="143" spans="1:21" x14ac:dyDescent="0.3">
      <c r="C143" s="220" t="s">
        <v>317</v>
      </c>
      <c r="F143" s="300">
        <v>8130</v>
      </c>
      <c r="G143" s="270">
        <v>1398</v>
      </c>
      <c r="H143" s="187">
        <v>408</v>
      </c>
      <c r="I143" s="187">
        <v>844.77</v>
      </c>
      <c r="J143" s="185">
        <v>1384.8</v>
      </c>
      <c r="K143" s="22">
        <v>2002</v>
      </c>
      <c r="L143" s="271">
        <f>+H143</f>
        <v>408</v>
      </c>
      <c r="M143" s="252">
        <f t="shared" ref="M143:O147" si="59">IF(I143=0,0,I143-H143)</f>
        <v>436.77</v>
      </c>
      <c r="N143" s="252">
        <f t="shared" si="59"/>
        <v>540.03</v>
      </c>
      <c r="O143" s="252">
        <f t="shared" si="59"/>
        <v>617.20000000000005</v>
      </c>
      <c r="P143" s="254">
        <f>SUM(L143:O143)</f>
        <v>2002</v>
      </c>
      <c r="Q143" s="255">
        <v>1500</v>
      </c>
      <c r="R143" s="256">
        <f>P143-Q143</f>
        <v>502</v>
      </c>
      <c r="S143" s="278">
        <f>IF(Q143=0,"",P143/Q143)</f>
        <v>1.3346666666666667</v>
      </c>
      <c r="T143" s="258">
        <f>P143-G143</f>
        <v>604</v>
      </c>
      <c r="U143" s="275">
        <f>IF(G143=0,"",P143/G143)</f>
        <v>1.4320457796852646</v>
      </c>
    </row>
    <row r="144" spans="1:21" x14ac:dyDescent="0.3">
      <c r="C144" s="220" t="s">
        <v>318</v>
      </c>
      <c r="F144" s="300">
        <v>8221</v>
      </c>
      <c r="G144" s="270">
        <v>3710</v>
      </c>
      <c r="H144" s="185">
        <v>1147</v>
      </c>
      <c r="I144" s="185">
        <v>1975.16</v>
      </c>
      <c r="J144" s="185">
        <v>2884.36</v>
      </c>
      <c r="K144" s="22">
        <v>4166</v>
      </c>
      <c r="L144" s="271">
        <f>+H144</f>
        <v>1147</v>
      </c>
      <c r="M144" s="252">
        <f t="shared" si="59"/>
        <v>828.16000000000008</v>
      </c>
      <c r="N144" s="252">
        <f t="shared" si="59"/>
        <v>909.2</v>
      </c>
      <c r="O144" s="252">
        <f t="shared" si="59"/>
        <v>1281.6399999999999</v>
      </c>
      <c r="P144" s="254">
        <f>SUM(L144:O144)</f>
        <v>4166</v>
      </c>
      <c r="Q144" s="255">
        <v>3750</v>
      </c>
      <c r="R144" s="256">
        <f>P144-Q144</f>
        <v>416</v>
      </c>
      <c r="S144" s="278">
        <f>IF(Q144=0,"",P144/Q144)</f>
        <v>1.1109333333333333</v>
      </c>
      <c r="T144" s="258">
        <f>P144-G144</f>
        <v>456</v>
      </c>
      <c r="U144" s="275">
        <f>IF(G144=0,"",P144/G144)</f>
        <v>1.1229110512129381</v>
      </c>
    </row>
    <row r="145" spans="2:21" x14ac:dyDescent="0.3">
      <c r="C145" s="220" t="s">
        <v>319</v>
      </c>
      <c r="F145" s="300">
        <v>8223</v>
      </c>
      <c r="G145" s="270">
        <v>0</v>
      </c>
      <c r="H145" s="185"/>
      <c r="I145" s="185"/>
      <c r="J145" s="185"/>
      <c r="K145" s="22"/>
      <c r="L145" s="271">
        <f>+H145</f>
        <v>0</v>
      </c>
      <c r="M145" s="252">
        <f t="shared" si="59"/>
        <v>0</v>
      </c>
      <c r="N145" s="252">
        <f t="shared" si="59"/>
        <v>0</v>
      </c>
      <c r="O145" s="252">
        <f t="shared" si="59"/>
        <v>0</v>
      </c>
      <c r="P145" s="254">
        <f>SUM(L145:O145)</f>
        <v>0</v>
      </c>
      <c r="Q145" s="255"/>
      <c r="R145" s="256">
        <f>P145-Q145</f>
        <v>0</v>
      </c>
      <c r="S145" s="278" t="str">
        <f>IF(Q145=0,"",P145/Q145)</f>
        <v/>
      </c>
      <c r="T145" s="258">
        <f>P145-G145</f>
        <v>0</v>
      </c>
      <c r="U145" s="275" t="str">
        <f>IF(G145=0,"",P145/G145)</f>
        <v/>
      </c>
    </row>
    <row r="146" spans="2:21" x14ac:dyDescent="0.3">
      <c r="C146" s="220" t="s">
        <v>320</v>
      </c>
      <c r="F146" s="300"/>
      <c r="G146" s="270">
        <v>0</v>
      </c>
      <c r="H146" s="185"/>
      <c r="I146" s="185"/>
      <c r="J146" s="185"/>
      <c r="K146" s="22"/>
      <c r="L146" s="271">
        <f>+H146</f>
        <v>0</v>
      </c>
      <c r="M146" s="252">
        <f t="shared" si="59"/>
        <v>0</v>
      </c>
      <c r="N146" s="252">
        <f t="shared" si="59"/>
        <v>0</v>
      </c>
      <c r="O146" s="252">
        <f t="shared" si="59"/>
        <v>0</v>
      </c>
      <c r="P146" s="254">
        <f>SUM(L146:O146)</f>
        <v>0</v>
      </c>
      <c r="Q146" s="255"/>
      <c r="R146" s="256">
        <f>P146-Q146</f>
        <v>0</v>
      </c>
      <c r="S146" s="278" t="str">
        <f>IF(Q146=0,"",P146/Q146)</f>
        <v/>
      </c>
      <c r="T146" s="258">
        <f>P146-G146</f>
        <v>0</v>
      </c>
      <c r="U146" s="275" t="str">
        <f>IF(G146=0,"",P146/G146)</f>
        <v/>
      </c>
    </row>
    <row r="147" spans="2:21" x14ac:dyDescent="0.3">
      <c r="C147" s="220" t="s">
        <v>321</v>
      </c>
      <c r="F147" s="300"/>
      <c r="G147" s="270">
        <v>742</v>
      </c>
      <c r="H147" s="185">
        <v>256</v>
      </c>
      <c r="I147" s="185">
        <v>407.56</v>
      </c>
      <c r="J147" s="185">
        <v>663.06</v>
      </c>
      <c r="K147" s="22">
        <v>804</v>
      </c>
      <c r="L147" s="271">
        <f>+H147</f>
        <v>256</v>
      </c>
      <c r="M147" s="252">
        <f t="shared" si="59"/>
        <v>151.56</v>
      </c>
      <c r="N147" s="252">
        <f t="shared" si="59"/>
        <v>255.49999999999994</v>
      </c>
      <c r="O147" s="252">
        <f t="shared" si="59"/>
        <v>140.94000000000005</v>
      </c>
      <c r="P147" s="254">
        <f>SUM(L147:O147)</f>
        <v>804</v>
      </c>
      <c r="Q147" s="255">
        <v>1000</v>
      </c>
      <c r="R147" s="256">
        <f>P147-Q147</f>
        <v>-196</v>
      </c>
      <c r="S147" s="278">
        <f>IF(Q147=0,"",P147/Q147)</f>
        <v>0.80400000000000005</v>
      </c>
      <c r="T147" s="258">
        <f>P147-G147</f>
        <v>62</v>
      </c>
      <c r="U147" s="275">
        <f>IF(G147=0,"",P147/G147)</f>
        <v>1.0835579514824798</v>
      </c>
    </row>
    <row r="148" spans="2:21" x14ac:dyDescent="0.3">
      <c r="F148" s="300"/>
      <c r="G148" s="270"/>
      <c r="H148" s="185"/>
      <c r="I148" s="185"/>
      <c r="J148" s="185"/>
      <c r="K148" s="22"/>
      <c r="L148" s="271"/>
      <c r="M148" s="252"/>
      <c r="N148" s="252"/>
      <c r="O148" s="252"/>
      <c r="P148" s="254"/>
      <c r="Q148" s="255"/>
      <c r="R148" s="256"/>
      <c r="S148" s="257"/>
      <c r="T148" s="258"/>
      <c r="U148" s="275"/>
    </row>
    <row r="149" spans="2:21" x14ac:dyDescent="0.3">
      <c r="C149" s="222" t="s">
        <v>322</v>
      </c>
      <c r="F149" s="300"/>
      <c r="G149" s="261">
        <f t="shared" ref="G149:R149" si="60">SUM(G143:G148)</f>
        <v>5850</v>
      </c>
      <c r="H149" s="186">
        <f t="shared" si="60"/>
        <v>1811</v>
      </c>
      <c r="I149" s="186">
        <f t="shared" si="60"/>
        <v>3227.4900000000002</v>
      </c>
      <c r="J149" s="186">
        <f t="shared" si="60"/>
        <v>4932.2199999999993</v>
      </c>
      <c r="K149" s="45">
        <f t="shared" si="60"/>
        <v>6972</v>
      </c>
      <c r="L149" s="263">
        <f t="shared" si="60"/>
        <v>1811</v>
      </c>
      <c r="M149" s="262">
        <f t="shared" si="60"/>
        <v>1416.49</v>
      </c>
      <c r="N149" s="262">
        <f t="shared" si="60"/>
        <v>1704.73</v>
      </c>
      <c r="O149" s="262">
        <f t="shared" si="60"/>
        <v>2039.78</v>
      </c>
      <c r="P149" s="264">
        <f t="shared" si="60"/>
        <v>6972</v>
      </c>
      <c r="Q149" s="265">
        <f t="shared" si="60"/>
        <v>6250</v>
      </c>
      <c r="R149" s="266">
        <f t="shared" si="60"/>
        <v>722</v>
      </c>
      <c r="S149" s="276">
        <f>IF(Q149=0,"",P149/Q149)</f>
        <v>1.1155200000000001</v>
      </c>
      <c r="T149" s="268">
        <f>SUM(T143:T148)</f>
        <v>1122</v>
      </c>
      <c r="U149" s="310">
        <f>IF(G149=0,"",P149/G149)</f>
        <v>1.1917948717948719</v>
      </c>
    </row>
    <row r="150" spans="2:21" x14ac:dyDescent="0.3">
      <c r="F150" s="300"/>
      <c r="G150" s="270"/>
      <c r="H150" s="185"/>
      <c r="I150" s="185"/>
      <c r="J150" s="185"/>
      <c r="K150" s="22"/>
      <c r="L150" s="271"/>
      <c r="M150" s="252"/>
      <c r="N150" s="252"/>
      <c r="O150" s="252"/>
      <c r="P150" s="254"/>
      <c r="Q150" s="255"/>
      <c r="R150" s="256"/>
      <c r="S150" s="257"/>
      <c r="T150" s="258"/>
      <c r="U150" s="275"/>
    </row>
    <row r="151" spans="2:21" x14ac:dyDescent="0.3">
      <c r="B151" s="222" t="s">
        <v>305</v>
      </c>
      <c r="F151" s="300"/>
      <c r="G151" s="270"/>
      <c r="H151" s="185"/>
      <c r="I151" s="185"/>
      <c r="J151" s="185"/>
      <c r="K151" s="22"/>
      <c r="L151" s="271"/>
      <c r="M151" s="252"/>
      <c r="N151" s="252"/>
      <c r="O151" s="252"/>
      <c r="P151" s="254"/>
      <c r="Q151" s="255"/>
      <c r="R151" s="256"/>
      <c r="S151" s="257"/>
      <c r="T151" s="258"/>
      <c r="U151" s="275"/>
    </row>
    <row r="152" spans="2:21" x14ac:dyDescent="0.3">
      <c r="C152" s="220" t="s">
        <v>323</v>
      </c>
      <c r="F152" s="300" t="s">
        <v>324</v>
      </c>
      <c r="G152" s="270">
        <v>0</v>
      </c>
      <c r="H152" s="185"/>
      <c r="I152" s="185"/>
      <c r="J152" s="185"/>
      <c r="K152" s="22"/>
      <c r="L152" s="271">
        <f>+H152</f>
        <v>0</v>
      </c>
      <c r="M152" s="252">
        <f t="shared" ref="M152:O156" si="61">IF(I152=0,0,I152-H152)</f>
        <v>0</v>
      </c>
      <c r="N152" s="252">
        <f t="shared" si="61"/>
        <v>0</v>
      </c>
      <c r="O152" s="252">
        <f t="shared" si="61"/>
        <v>0</v>
      </c>
      <c r="P152" s="254">
        <f>SUM(L152:O152)</f>
        <v>0</v>
      </c>
      <c r="Q152" s="255">
        <v>0</v>
      </c>
      <c r="R152" s="256">
        <f>P152-Q152</f>
        <v>0</v>
      </c>
      <c r="S152" s="278" t="str">
        <f>IF(Q152=0,"",P152/Q152)</f>
        <v/>
      </c>
      <c r="T152" s="258">
        <f>P152-G152</f>
        <v>0</v>
      </c>
      <c r="U152" s="275" t="str">
        <f>IF(G152=0,"",P152/G152)</f>
        <v/>
      </c>
    </row>
    <row r="153" spans="2:21" x14ac:dyDescent="0.3">
      <c r="C153" s="220" t="s">
        <v>325</v>
      </c>
      <c r="F153" s="300" t="s">
        <v>326</v>
      </c>
      <c r="G153" s="270">
        <v>1410</v>
      </c>
      <c r="H153" s="185">
        <v>778</v>
      </c>
      <c r="I153" s="185">
        <v>777.94</v>
      </c>
      <c r="J153" s="185">
        <f>797.71</f>
        <v>797.71</v>
      </c>
      <c r="K153" s="22">
        <v>798</v>
      </c>
      <c r="L153" s="271">
        <f>+H153</f>
        <v>778</v>
      </c>
      <c r="M153" s="252">
        <f t="shared" si="61"/>
        <v>-5.999999999994543E-2</v>
      </c>
      <c r="N153" s="252">
        <f t="shared" si="61"/>
        <v>19.769999999999982</v>
      </c>
      <c r="O153" s="252">
        <f t="shared" si="61"/>
        <v>0.28999999999996362</v>
      </c>
      <c r="P153" s="254">
        <f>SUM(L153:O153)</f>
        <v>798</v>
      </c>
      <c r="Q153" s="255">
        <v>1400</v>
      </c>
      <c r="R153" s="256">
        <f>P153-Q153</f>
        <v>-602</v>
      </c>
      <c r="S153" s="278">
        <f>IF(Q153=0,"",P153/Q153)</f>
        <v>0.56999999999999995</v>
      </c>
      <c r="T153" s="258">
        <f>P153-G153</f>
        <v>-612</v>
      </c>
      <c r="U153" s="275">
        <f>IF(G153=0,"",P153/G153)</f>
        <v>0.56595744680851068</v>
      </c>
    </row>
    <row r="154" spans="2:21" x14ac:dyDescent="0.3">
      <c r="C154" s="220" t="s">
        <v>175</v>
      </c>
      <c r="F154" s="300" t="s">
        <v>327</v>
      </c>
      <c r="G154" s="270">
        <v>467</v>
      </c>
      <c r="H154" s="185">
        <v>269</v>
      </c>
      <c r="I154" s="185">
        <v>657.02</v>
      </c>
      <c r="J154" s="185">
        <v>733.77</v>
      </c>
      <c r="K154" s="22">
        <f>111.71+941</f>
        <v>1052.71</v>
      </c>
      <c r="L154" s="271">
        <f>+H154</f>
        <v>269</v>
      </c>
      <c r="M154" s="252">
        <f t="shared" si="61"/>
        <v>388.02</v>
      </c>
      <c r="N154" s="252">
        <f t="shared" si="61"/>
        <v>76.75</v>
      </c>
      <c r="O154" s="252">
        <f t="shared" si="61"/>
        <v>318.94000000000005</v>
      </c>
      <c r="P154" s="254">
        <f>SUM(L154:O154)</f>
        <v>1052.71</v>
      </c>
      <c r="Q154" s="255">
        <v>450</v>
      </c>
      <c r="R154" s="256">
        <f>P154-Q154</f>
        <v>602.71</v>
      </c>
      <c r="S154" s="278">
        <f>IF(Q154=0,"",P154/Q154)</f>
        <v>2.3393555555555556</v>
      </c>
      <c r="T154" s="258">
        <f>P154-G154</f>
        <v>585.71</v>
      </c>
      <c r="U154" s="275">
        <f>IF(G154=0,"",P154/G154)</f>
        <v>2.2541970021413276</v>
      </c>
    </row>
    <row r="155" spans="2:21" x14ac:dyDescent="0.3">
      <c r="C155" s="220" t="s">
        <v>328</v>
      </c>
      <c r="F155" s="300" t="s">
        <v>329</v>
      </c>
      <c r="G155" s="270">
        <v>0</v>
      </c>
      <c r="H155" s="185"/>
      <c r="I155" s="185"/>
      <c r="J155" s="185"/>
      <c r="K155" s="22"/>
      <c r="L155" s="271">
        <f>+H155</f>
        <v>0</v>
      </c>
      <c r="M155" s="252">
        <f t="shared" si="61"/>
        <v>0</v>
      </c>
      <c r="N155" s="252">
        <f t="shared" si="61"/>
        <v>0</v>
      </c>
      <c r="O155" s="252">
        <f t="shared" si="61"/>
        <v>0</v>
      </c>
      <c r="P155" s="254">
        <f>SUM(L155:O155)</f>
        <v>0</v>
      </c>
      <c r="Q155" s="255">
        <v>100</v>
      </c>
      <c r="R155" s="256">
        <f>P155-Q155</f>
        <v>-100</v>
      </c>
      <c r="S155" s="278">
        <f>IF(Q155=0,"",P155/Q155)</f>
        <v>0</v>
      </c>
      <c r="T155" s="258">
        <f>P155-G155</f>
        <v>0</v>
      </c>
      <c r="U155" s="275" t="str">
        <f>IF(G155=0,"",P155/G155)</f>
        <v/>
      </c>
    </row>
    <row r="156" spans="2:21" x14ac:dyDescent="0.3">
      <c r="C156" s="220" t="s">
        <v>321</v>
      </c>
      <c r="F156" s="300"/>
      <c r="G156" s="270">
        <v>777</v>
      </c>
      <c r="H156" s="185">
        <v>132</v>
      </c>
      <c r="I156" s="185">
        <v>410.61</v>
      </c>
      <c r="J156" s="185">
        <f>376.75+71.99</f>
        <v>448.74</v>
      </c>
      <c r="K156" s="22">
        <f>131+760</f>
        <v>891</v>
      </c>
      <c r="L156" s="271">
        <f>+H156</f>
        <v>132</v>
      </c>
      <c r="M156" s="252">
        <f t="shared" si="61"/>
        <v>278.61</v>
      </c>
      <c r="N156" s="252">
        <f t="shared" si="61"/>
        <v>38.129999999999995</v>
      </c>
      <c r="O156" s="252">
        <f t="shared" si="61"/>
        <v>442.26</v>
      </c>
      <c r="P156" s="254">
        <f>SUM(L156:O156)</f>
        <v>891</v>
      </c>
      <c r="Q156" s="255">
        <v>650</v>
      </c>
      <c r="R156" s="256">
        <f>P156-Q156</f>
        <v>241</v>
      </c>
      <c r="S156" s="278">
        <f>IF(Q156=0,"",P156/Q156)</f>
        <v>1.3707692307692307</v>
      </c>
      <c r="T156" s="258">
        <f>P156-G156</f>
        <v>114</v>
      </c>
      <c r="U156" s="275">
        <f>IF(G156=0,"",P156/G156)</f>
        <v>1.1467181467181466</v>
      </c>
    </row>
    <row r="157" spans="2:21" x14ac:dyDescent="0.3">
      <c r="F157" s="300"/>
      <c r="G157" s="270"/>
      <c r="H157" s="185"/>
      <c r="I157" s="185"/>
      <c r="J157" s="185"/>
      <c r="K157" s="22"/>
      <c r="L157" s="271"/>
      <c r="M157" s="252"/>
      <c r="N157" s="252"/>
      <c r="O157" s="252"/>
      <c r="P157" s="254"/>
      <c r="Q157" s="255"/>
      <c r="R157" s="256"/>
      <c r="S157" s="257"/>
      <c r="T157" s="258"/>
      <c r="U157" s="275"/>
    </row>
    <row r="158" spans="2:21" x14ac:dyDescent="0.3">
      <c r="C158" s="222" t="s">
        <v>330</v>
      </c>
      <c r="F158" s="300"/>
      <c r="G158" s="261">
        <f t="shared" ref="G158:R158" si="62">SUM(G152:G157)</f>
        <v>2654</v>
      </c>
      <c r="H158" s="186">
        <f>SUM(H152:H157)</f>
        <v>1179</v>
      </c>
      <c r="I158" s="186">
        <f>SUM(I152:I157)</f>
        <v>1845.5700000000002</v>
      </c>
      <c r="J158" s="186">
        <f>SUM(J152:J157)</f>
        <v>1980.22</v>
      </c>
      <c r="K158" s="45">
        <f>SUM(K152:K157)</f>
        <v>2741.71</v>
      </c>
      <c r="L158" s="263">
        <f t="shared" si="62"/>
        <v>1179</v>
      </c>
      <c r="M158" s="262">
        <f t="shared" si="62"/>
        <v>666.57</v>
      </c>
      <c r="N158" s="262">
        <f t="shared" si="62"/>
        <v>134.64999999999998</v>
      </c>
      <c r="O158" s="262">
        <f t="shared" si="62"/>
        <v>761.49</v>
      </c>
      <c r="P158" s="264">
        <f t="shared" si="62"/>
        <v>2741.71</v>
      </c>
      <c r="Q158" s="265">
        <f>SUM(Q152:Q157)</f>
        <v>2600</v>
      </c>
      <c r="R158" s="266">
        <f t="shared" si="62"/>
        <v>141.71000000000004</v>
      </c>
      <c r="S158" s="276">
        <f>IF(Q158=0,"",P158/Q158)</f>
        <v>1.0545038461538461</v>
      </c>
      <c r="T158" s="268">
        <f>SUM(T152:T157)</f>
        <v>87.710000000000036</v>
      </c>
      <c r="U158" s="310">
        <f>IF(G158=0,"",P158/G158)</f>
        <v>1.0330482290881688</v>
      </c>
    </row>
    <row r="159" spans="2:21" x14ac:dyDescent="0.3">
      <c r="F159" s="300"/>
      <c r="G159" s="270"/>
      <c r="H159" s="185"/>
      <c r="I159" s="185"/>
      <c r="J159" s="185"/>
      <c r="K159" s="22"/>
      <c r="L159" s="271"/>
      <c r="M159" s="252"/>
      <c r="N159" s="252"/>
      <c r="O159" s="252"/>
      <c r="P159" s="254"/>
      <c r="Q159" s="255"/>
      <c r="R159" s="256"/>
      <c r="S159" s="257"/>
      <c r="T159" s="258"/>
      <c r="U159" s="275"/>
    </row>
    <row r="160" spans="2:21" x14ac:dyDescent="0.3">
      <c r="B160" s="222" t="s">
        <v>170</v>
      </c>
      <c r="F160" s="300"/>
      <c r="G160" s="270"/>
      <c r="H160" s="185"/>
      <c r="I160" s="185"/>
      <c r="J160" s="185"/>
      <c r="K160" s="22"/>
      <c r="L160" s="271"/>
      <c r="M160" s="252"/>
      <c r="N160" s="252"/>
      <c r="O160" s="252"/>
      <c r="P160" s="254"/>
      <c r="Q160" s="255"/>
      <c r="R160" s="256"/>
      <c r="S160" s="257"/>
      <c r="T160" s="258"/>
      <c r="U160" s="275"/>
    </row>
    <row r="161" spans="1:21" x14ac:dyDescent="0.3">
      <c r="C161" s="220" t="s">
        <v>331</v>
      </c>
      <c r="F161" s="300" t="s">
        <v>332</v>
      </c>
      <c r="G161" s="270">
        <v>3</v>
      </c>
      <c r="H161" s="185">
        <v>3</v>
      </c>
      <c r="I161" s="185">
        <v>3</v>
      </c>
      <c r="J161" s="185">
        <v>3</v>
      </c>
      <c r="K161" s="22">
        <v>3</v>
      </c>
      <c r="L161" s="271">
        <f>+H161</f>
        <v>3</v>
      </c>
      <c r="M161" s="252">
        <f t="shared" ref="M161:O165" si="63">IF(I161=0,0,I161-H161)</f>
        <v>0</v>
      </c>
      <c r="N161" s="252">
        <f t="shared" si="63"/>
        <v>0</v>
      </c>
      <c r="O161" s="252">
        <f t="shared" si="63"/>
        <v>0</v>
      </c>
      <c r="P161" s="254">
        <f>SUM(L161:O161)</f>
        <v>3</v>
      </c>
      <c r="Q161" s="255">
        <v>25</v>
      </c>
      <c r="R161" s="256">
        <f>P161-Q161</f>
        <v>-22</v>
      </c>
      <c r="S161" s="278">
        <f>IF(Q161=0,"",P161/Q161)</f>
        <v>0.12</v>
      </c>
      <c r="T161" s="258">
        <f>P161-G161</f>
        <v>0</v>
      </c>
      <c r="U161" s="275">
        <f>IF(G161=0,"",P161/G161)</f>
        <v>1</v>
      </c>
    </row>
    <row r="162" spans="1:21" x14ac:dyDescent="0.3">
      <c r="C162" s="220" t="s">
        <v>333</v>
      </c>
      <c r="F162" s="300" t="s">
        <v>334</v>
      </c>
      <c r="G162" s="270">
        <v>233</v>
      </c>
      <c r="H162" s="185">
        <v>38</v>
      </c>
      <c r="I162" s="185">
        <v>314.44</v>
      </c>
      <c r="J162" s="185">
        <f>38.79+52+299.95+314.44-42+0.5</f>
        <v>663.68000000000006</v>
      </c>
      <c r="K162" s="22">
        <f>299.95+314.44</f>
        <v>614.39</v>
      </c>
      <c r="L162" s="271">
        <f>+H162</f>
        <v>38</v>
      </c>
      <c r="M162" s="252">
        <f t="shared" si="63"/>
        <v>276.44</v>
      </c>
      <c r="N162" s="252">
        <f t="shared" si="63"/>
        <v>349.24000000000007</v>
      </c>
      <c r="O162" s="252">
        <f t="shared" si="63"/>
        <v>-49.290000000000077</v>
      </c>
      <c r="P162" s="254">
        <f>SUM(L162:O162)</f>
        <v>614.39</v>
      </c>
      <c r="Q162" s="255">
        <v>275</v>
      </c>
      <c r="R162" s="256">
        <f>P162-Q162</f>
        <v>339.39</v>
      </c>
      <c r="S162" s="278">
        <f>IF(Q162=0,"",P162/Q162)</f>
        <v>2.2341454545454544</v>
      </c>
      <c r="T162" s="258">
        <f>P162-G162</f>
        <v>381.39</v>
      </c>
      <c r="U162" s="275">
        <f>IF(G162=0,"",P162/G162)</f>
        <v>2.6368669527896995</v>
      </c>
    </row>
    <row r="163" spans="1:21" x14ac:dyDescent="0.3">
      <c r="C163" s="220" t="s">
        <v>335</v>
      </c>
      <c r="F163" s="300" t="s">
        <v>336</v>
      </c>
      <c r="G163" s="270">
        <v>160</v>
      </c>
      <c r="H163" s="185">
        <v>83</v>
      </c>
      <c r="I163" s="185">
        <v>82.92</v>
      </c>
      <c r="J163" s="185">
        <v>82.92</v>
      </c>
      <c r="K163" s="22">
        <v>83</v>
      </c>
      <c r="L163" s="271">
        <f>+H163</f>
        <v>83</v>
      </c>
      <c r="M163" s="252">
        <f t="shared" si="63"/>
        <v>-7.9999999999998295E-2</v>
      </c>
      <c r="N163" s="252">
        <f t="shared" si="63"/>
        <v>0</v>
      </c>
      <c r="O163" s="252">
        <f t="shared" si="63"/>
        <v>7.9999999999998295E-2</v>
      </c>
      <c r="P163" s="254">
        <f>SUM(L163:O163)</f>
        <v>83</v>
      </c>
      <c r="Q163" s="255">
        <v>100</v>
      </c>
      <c r="R163" s="256">
        <f>P163-Q163</f>
        <v>-17</v>
      </c>
      <c r="S163" s="278">
        <f>IF(Q163=0,"",P163/Q163)</f>
        <v>0.83</v>
      </c>
      <c r="T163" s="258">
        <f>P163-G163</f>
        <v>-77</v>
      </c>
      <c r="U163" s="275">
        <f>IF(G163=0,"",P163/G163)</f>
        <v>0.51875000000000004</v>
      </c>
    </row>
    <row r="164" spans="1:21" x14ac:dyDescent="0.3">
      <c r="C164" s="220" t="s">
        <v>337</v>
      </c>
      <c r="F164" s="300"/>
      <c r="G164" s="270">
        <v>0</v>
      </c>
      <c r="H164" s="185"/>
      <c r="I164" s="185"/>
      <c r="J164" s="185"/>
      <c r="K164" s="22"/>
      <c r="L164" s="271">
        <f>+H164</f>
        <v>0</v>
      </c>
      <c r="M164" s="252">
        <f t="shared" si="63"/>
        <v>0</v>
      </c>
      <c r="N164" s="252">
        <f t="shared" si="63"/>
        <v>0</v>
      </c>
      <c r="O164" s="252">
        <f t="shared" si="63"/>
        <v>0</v>
      </c>
      <c r="P164" s="254">
        <f>SUM(L164:O164)</f>
        <v>0</v>
      </c>
      <c r="Q164" s="255"/>
      <c r="R164" s="256">
        <f>P164-Q164</f>
        <v>0</v>
      </c>
      <c r="S164" s="278" t="str">
        <f>IF(Q164=0,"",P164/Q164)</f>
        <v/>
      </c>
      <c r="T164" s="258">
        <f>P164-G164</f>
        <v>0</v>
      </c>
      <c r="U164" s="275" t="str">
        <f>IF(G164=0,"",P164/G164)</f>
        <v/>
      </c>
    </row>
    <row r="165" spans="1:21" x14ac:dyDescent="0.3">
      <c r="C165" s="220" t="s">
        <v>321</v>
      </c>
      <c r="F165" s="300"/>
      <c r="G165" s="270">
        <v>14</v>
      </c>
      <c r="H165" s="185">
        <v>42</v>
      </c>
      <c r="I165" s="185">
        <v>42.49</v>
      </c>
      <c r="J165" s="185">
        <v>42</v>
      </c>
      <c r="K165" s="22"/>
      <c r="L165" s="271">
        <f>+H165</f>
        <v>42</v>
      </c>
      <c r="M165" s="252">
        <f t="shared" si="63"/>
        <v>0.49000000000000199</v>
      </c>
      <c r="N165" s="252">
        <f t="shared" si="63"/>
        <v>-0.49000000000000199</v>
      </c>
      <c r="O165" s="252">
        <f t="shared" si="63"/>
        <v>0</v>
      </c>
      <c r="P165" s="254">
        <f>SUM(L165:O165)</f>
        <v>42</v>
      </c>
      <c r="Q165" s="255"/>
      <c r="R165" s="256">
        <f>P165-Q165</f>
        <v>42</v>
      </c>
      <c r="S165" s="278" t="str">
        <f>IF(Q165=0,"",P165/Q165)</f>
        <v/>
      </c>
      <c r="T165" s="258">
        <f>P165-G165</f>
        <v>28</v>
      </c>
      <c r="U165" s="275">
        <f>IF(G165=0,"",P165/G165)</f>
        <v>3</v>
      </c>
    </row>
    <row r="166" spans="1:21" x14ac:dyDescent="0.3">
      <c r="F166" s="300"/>
      <c r="G166" s="270"/>
      <c r="H166" s="185"/>
      <c r="I166" s="185"/>
      <c r="J166" s="185"/>
      <c r="K166" s="22"/>
      <c r="L166" s="271"/>
      <c r="M166" s="252"/>
      <c r="N166" s="252"/>
      <c r="O166" s="252"/>
      <c r="P166" s="254"/>
      <c r="Q166" s="255"/>
      <c r="R166" s="256"/>
      <c r="S166" s="257"/>
      <c r="T166" s="258"/>
      <c r="U166" s="275"/>
    </row>
    <row r="167" spans="1:21" x14ac:dyDescent="0.3">
      <c r="C167" s="222" t="s">
        <v>338</v>
      </c>
      <c r="F167" s="320"/>
      <c r="G167" s="321">
        <f t="shared" ref="G167:R167" si="64">SUM(G161:G166)</f>
        <v>410</v>
      </c>
      <c r="H167" s="193">
        <f>SUM(H161:H166)</f>
        <v>166</v>
      </c>
      <c r="I167" s="193">
        <f>SUM(I161:I166)</f>
        <v>442.85</v>
      </c>
      <c r="J167" s="193">
        <f>SUM(J161:J166)</f>
        <v>791.6</v>
      </c>
      <c r="K167" s="49">
        <f>SUM(K161:K166)</f>
        <v>700.39</v>
      </c>
      <c r="L167" s="323">
        <f t="shared" si="64"/>
        <v>166</v>
      </c>
      <c r="M167" s="322">
        <f t="shared" si="64"/>
        <v>276.85000000000002</v>
      </c>
      <c r="N167" s="322">
        <f t="shared" si="64"/>
        <v>348.75000000000006</v>
      </c>
      <c r="O167" s="322">
        <f t="shared" si="64"/>
        <v>-49.210000000000079</v>
      </c>
      <c r="P167" s="324">
        <f t="shared" si="64"/>
        <v>742.39</v>
      </c>
      <c r="Q167" s="325">
        <f>SUM(Q161:Q166)</f>
        <v>400</v>
      </c>
      <c r="R167" s="326">
        <f t="shared" si="64"/>
        <v>342.39</v>
      </c>
      <c r="S167" s="327">
        <f>IF(Q167=0,"",P167/Q167)</f>
        <v>1.8559749999999999</v>
      </c>
      <c r="T167" s="328">
        <f>SUM(T161:T166)</f>
        <v>332.39</v>
      </c>
      <c r="U167" s="329">
        <f>IF(G167=0,"",P167/G167)</f>
        <v>1.8107073170731707</v>
      </c>
    </row>
    <row r="171" spans="1:21" x14ac:dyDescent="0.3">
      <c r="A171" s="220" t="s">
        <v>339</v>
      </c>
    </row>
    <row r="172" spans="1:21" x14ac:dyDescent="0.3">
      <c r="A172" s="220">
        <v>1</v>
      </c>
      <c r="B172" s="330" t="s">
        <v>403</v>
      </c>
    </row>
    <row r="173" spans="1:21" x14ac:dyDescent="0.3">
      <c r="A173" s="220">
        <v>2</v>
      </c>
      <c r="B173" s="220" t="s">
        <v>404</v>
      </c>
    </row>
    <row r="174" spans="1:21" x14ac:dyDescent="0.3">
      <c r="A174" s="220">
        <v>3</v>
      </c>
      <c r="B174" s="220" t="s">
        <v>235</v>
      </c>
    </row>
    <row r="175" spans="1:21" x14ac:dyDescent="0.3">
      <c r="A175" s="220">
        <v>4</v>
      </c>
      <c r="B175" s="220" t="s">
        <v>236</v>
      </c>
    </row>
  </sheetData>
  <phoneticPr fontId="3" type="noConversion"/>
  <pageMargins left="0.75" right="0.75" top="0.5" bottom="1" header="0.5" footer="0.5"/>
  <pageSetup scale="59" fitToHeight="3" orientation="landscape" horizontalDpi="4294967292" verticalDpi="4294967292"/>
  <headerFooter alignWithMargins="0">
    <oddFooter>&amp;L&amp;F&amp;C&amp;D&amp;R&amp;A</oddFooter>
  </headerFooter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13"/>
    <pageSetUpPr fitToPage="1"/>
  </sheetPr>
  <dimension ref="A1:O85"/>
  <sheetViews>
    <sheetView zoomScaleNormal="100" workbookViewId="0">
      <pane xSplit="5" ySplit="7" topLeftCell="F52" activePane="bottomRight" state="frozen"/>
      <selection activeCell="D4" sqref="D4"/>
      <selection pane="topRight" activeCell="D4" sqref="D4"/>
      <selection pane="bottomLeft" activeCell="D4" sqref="D4"/>
      <selection pane="bottomRight" activeCell="K1" sqref="K1:K84"/>
    </sheetView>
  </sheetViews>
  <sheetFormatPr defaultColWidth="11.07421875" defaultRowHeight="13.5" outlineLevelRow="1" x14ac:dyDescent="0.3"/>
  <cols>
    <col min="1" max="1" width="5.921875" customWidth="1"/>
    <col min="2" max="2" width="6.3828125" customWidth="1"/>
    <col min="3" max="3" width="4.07421875" customWidth="1"/>
    <col min="4" max="4" width="3.921875" customWidth="1"/>
    <col min="5" max="5" width="10.07421875" customWidth="1"/>
    <col min="6" max="6" width="8.921875" customWidth="1"/>
    <col min="7" max="7" width="12.3828125" customWidth="1"/>
    <col min="9" max="9" width="14.07421875" bestFit="1" customWidth="1"/>
    <col min="10" max="10" width="12.921875" customWidth="1"/>
    <col min="12" max="12" width="12" customWidth="1"/>
    <col min="13" max="14" width="14.69140625" bestFit="1" customWidth="1"/>
  </cols>
  <sheetData>
    <row r="1" spans="1:14" ht="15" x14ac:dyDescent="0.3">
      <c r="A1" s="2" t="s">
        <v>265</v>
      </c>
    </row>
    <row r="2" spans="1:14" x14ac:dyDescent="0.3">
      <c r="A2" s="21" t="s">
        <v>266</v>
      </c>
      <c r="I2" s="22"/>
    </row>
    <row r="3" spans="1:14" ht="15.5" thickBot="1" x14ac:dyDescent="0.35">
      <c r="A3" s="2" t="s">
        <v>237</v>
      </c>
    </row>
    <row r="4" spans="1:14" ht="14" thickBot="1" x14ac:dyDescent="0.35">
      <c r="A4" s="1" t="s">
        <v>268</v>
      </c>
      <c r="D4" s="36">
        <v>4</v>
      </c>
    </row>
    <row r="5" spans="1:14" x14ac:dyDescent="0.3">
      <c r="E5" s="34"/>
      <c r="G5" s="170" t="s">
        <v>238</v>
      </c>
      <c r="H5">
        <v>1</v>
      </c>
      <c r="I5">
        <v>2</v>
      </c>
      <c r="J5">
        <v>3</v>
      </c>
      <c r="K5">
        <v>4</v>
      </c>
    </row>
    <row r="6" spans="1:14" ht="15" x14ac:dyDescent="0.3">
      <c r="A6" s="2"/>
      <c r="F6" s="180" t="s">
        <v>217</v>
      </c>
      <c r="G6" s="157" t="s">
        <v>80</v>
      </c>
      <c r="H6" s="130" t="s">
        <v>139</v>
      </c>
      <c r="I6" s="131" t="s">
        <v>139</v>
      </c>
      <c r="J6" s="131" t="s">
        <v>139</v>
      </c>
      <c r="K6" s="164" t="s">
        <v>446</v>
      </c>
      <c r="L6" s="165" t="s">
        <v>20</v>
      </c>
      <c r="M6" s="165" t="s">
        <v>140</v>
      </c>
      <c r="N6" s="166" t="s">
        <v>141</v>
      </c>
    </row>
    <row r="7" spans="1:14" x14ac:dyDescent="0.3">
      <c r="F7" s="181" t="s">
        <v>218</v>
      </c>
      <c r="G7" s="158">
        <v>40632</v>
      </c>
      <c r="H7" s="167">
        <v>40723</v>
      </c>
      <c r="I7" s="168">
        <v>40815</v>
      </c>
      <c r="J7" s="168">
        <v>40907</v>
      </c>
      <c r="K7" s="160">
        <v>40998</v>
      </c>
      <c r="L7" s="162" t="s">
        <v>433</v>
      </c>
      <c r="M7" s="162" t="s">
        <v>20</v>
      </c>
      <c r="N7" s="163" t="s">
        <v>128</v>
      </c>
    </row>
    <row r="8" spans="1:14" x14ac:dyDescent="0.3">
      <c r="A8" s="1" t="s">
        <v>239</v>
      </c>
      <c r="F8" s="182"/>
      <c r="G8" s="177"/>
      <c r="H8" s="194"/>
      <c r="I8" s="195"/>
      <c r="J8" s="195"/>
      <c r="K8" s="195"/>
      <c r="L8" s="143"/>
      <c r="M8" s="129"/>
      <c r="N8" s="144"/>
    </row>
    <row r="9" spans="1:14" x14ac:dyDescent="0.3">
      <c r="F9" s="179"/>
      <c r="G9" s="145"/>
      <c r="H9" s="196"/>
      <c r="I9" s="197"/>
      <c r="J9" s="197"/>
      <c r="K9" s="197"/>
      <c r="L9" s="145"/>
      <c r="M9" s="141"/>
      <c r="N9" s="146"/>
    </row>
    <row r="10" spans="1:14" x14ac:dyDescent="0.3">
      <c r="B10" t="s">
        <v>240</v>
      </c>
      <c r="F10" s="179"/>
      <c r="G10" s="132"/>
      <c r="H10" s="198"/>
      <c r="I10" s="199"/>
      <c r="J10" s="199"/>
      <c r="K10" s="199"/>
      <c r="L10" s="132"/>
      <c r="M10" s="137"/>
      <c r="N10" s="147"/>
    </row>
    <row r="11" spans="1:14" x14ac:dyDescent="0.3">
      <c r="B11" t="s">
        <v>241</v>
      </c>
      <c r="F11" s="179"/>
      <c r="G11" s="132"/>
      <c r="H11" s="198"/>
      <c r="I11" s="199"/>
      <c r="J11" s="199"/>
      <c r="K11" s="199"/>
      <c r="L11" s="132"/>
      <c r="M11" s="137"/>
      <c r="N11" s="147"/>
    </row>
    <row r="12" spans="1:14" x14ac:dyDescent="0.3">
      <c r="B12" t="s">
        <v>242</v>
      </c>
      <c r="F12" s="179"/>
      <c r="G12" s="132"/>
      <c r="H12" s="198"/>
      <c r="I12" s="199"/>
      <c r="J12" s="199"/>
      <c r="K12" s="199"/>
      <c r="L12" s="132"/>
      <c r="M12" s="133"/>
      <c r="N12" s="147"/>
    </row>
    <row r="13" spans="1:14" x14ac:dyDescent="0.3">
      <c r="F13" s="179"/>
      <c r="G13" s="132"/>
      <c r="H13" s="198"/>
      <c r="I13" s="199"/>
      <c r="J13" s="199"/>
      <c r="K13" s="199"/>
      <c r="L13" s="132"/>
      <c r="M13" s="133"/>
      <c r="N13" s="147"/>
    </row>
    <row r="14" spans="1:14" x14ac:dyDescent="0.3">
      <c r="F14" s="179"/>
      <c r="G14" s="132"/>
      <c r="H14" s="198"/>
      <c r="I14" s="199"/>
      <c r="J14" s="199"/>
      <c r="K14" s="199"/>
      <c r="L14" s="132"/>
      <c r="M14" s="133"/>
      <c r="N14" s="147"/>
    </row>
    <row r="15" spans="1:14" x14ac:dyDescent="0.3">
      <c r="B15" s="1" t="s">
        <v>243</v>
      </c>
      <c r="F15" s="179"/>
      <c r="G15" s="150">
        <f t="shared" ref="G15:L15" si="0">SUM(G10:G14)</f>
        <v>0</v>
      </c>
      <c r="H15" s="200">
        <f t="shared" si="0"/>
        <v>0</v>
      </c>
      <c r="I15" s="201">
        <f t="shared" si="0"/>
        <v>0</v>
      </c>
      <c r="J15" s="201">
        <f t="shared" si="0"/>
        <v>0</v>
      </c>
      <c r="K15" s="201">
        <f t="shared" si="0"/>
        <v>0</v>
      </c>
      <c r="L15" s="150">
        <f t="shared" si="0"/>
        <v>0</v>
      </c>
      <c r="M15" s="178">
        <f>IF($D$4=$H$5,H15-L15,IF($D$4=$I$5,I15-L15,IF($D$4=$J$5,J15-L15,K15-L15)))</f>
        <v>0</v>
      </c>
      <c r="N15" s="151">
        <f>IF($D$4=$H$5,H15-G15,IF($D$4=$I$5,I15-G15,IF($D$4=$J$5,J15-G15,K15-G15)))</f>
        <v>0</v>
      </c>
    </row>
    <row r="16" spans="1:14" outlineLevel="1" x14ac:dyDescent="0.3">
      <c r="F16" s="179"/>
      <c r="G16" s="132"/>
      <c r="H16" s="198"/>
      <c r="I16" s="199"/>
      <c r="J16" s="199"/>
      <c r="K16" s="199"/>
      <c r="L16" s="132"/>
      <c r="M16" s="133"/>
      <c r="N16" s="147"/>
    </row>
    <row r="17" spans="2:14" outlineLevel="1" x14ac:dyDescent="0.3">
      <c r="B17" t="s">
        <v>244</v>
      </c>
      <c r="F17" s="179">
        <v>1010</v>
      </c>
      <c r="G17" s="132"/>
      <c r="H17" s="198"/>
      <c r="I17" s="199"/>
      <c r="J17" s="199"/>
      <c r="K17" s="199"/>
      <c r="L17" s="132"/>
      <c r="M17" s="133"/>
      <c r="N17" s="147"/>
    </row>
    <row r="18" spans="2:14" outlineLevel="1" x14ac:dyDescent="0.3">
      <c r="B18" t="s">
        <v>245</v>
      </c>
      <c r="F18" s="179">
        <v>1070</v>
      </c>
      <c r="G18" s="132"/>
      <c r="H18" s="198"/>
      <c r="I18" s="199"/>
      <c r="J18" s="199"/>
      <c r="K18" s="199"/>
      <c r="L18" s="132"/>
      <c r="M18" s="133"/>
      <c r="N18" s="147"/>
    </row>
    <row r="19" spans="2:14" outlineLevel="1" x14ac:dyDescent="0.3">
      <c r="B19" t="s">
        <v>102</v>
      </c>
      <c r="F19" s="179"/>
      <c r="G19" s="132"/>
      <c r="H19" s="198"/>
      <c r="I19" s="199"/>
      <c r="J19" s="199"/>
      <c r="K19" s="199"/>
      <c r="L19" s="132"/>
      <c r="M19" s="133"/>
      <c r="N19" s="147"/>
    </row>
    <row r="20" spans="2:14" outlineLevel="1" x14ac:dyDescent="0.3">
      <c r="F20" s="179"/>
      <c r="G20" s="132"/>
      <c r="H20" s="198"/>
      <c r="I20" s="199"/>
      <c r="J20" s="199"/>
      <c r="K20" s="199"/>
      <c r="L20" s="132"/>
      <c r="M20" s="133"/>
      <c r="N20" s="147"/>
    </row>
    <row r="21" spans="2:14" outlineLevel="1" x14ac:dyDescent="0.3">
      <c r="F21" s="179"/>
      <c r="G21" s="136"/>
      <c r="H21" s="202"/>
      <c r="I21" s="203"/>
      <c r="J21" s="203"/>
      <c r="K21" s="199"/>
      <c r="L21" s="132"/>
      <c r="M21" s="133"/>
      <c r="N21" s="147"/>
    </row>
    <row r="22" spans="2:14" outlineLevel="1" x14ac:dyDescent="0.3">
      <c r="B22" s="1" t="s">
        <v>103</v>
      </c>
      <c r="F22" s="179"/>
      <c r="G22" s="150">
        <f t="shared" ref="G22:L22" si="1">SUM(G17:G21)</f>
        <v>0</v>
      </c>
      <c r="H22" s="200">
        <f t="shared" si="1"/>
        <v>0</v>
      </c>
      <c r="I22" s="201">
        <f t="shared" si="1"/>
        <v>0</v>
      </c>
      <c r="J22" s="201">
        <f t="shared" si="1"/>
        <v>0</v>
      </c>
      <c r="K22" s="201">
        <f t="shared" si="1"/>
        <v>0</v>
      </c>
      <c r="L22" s="150">
        <f t="shared" si="1"/>
        <v>0</v>
      </c>
      <c r="M22" s="148">
        <f>IF($D$4=$H$5,H22-L22,IF($D$4=$I$5,I22-L22,IF($D$4=$J$5,J22-L22,K22-L22)))</f>
        <v>0</v>
      </c>
      <c r="N22" s="151">
        <f>IF($D$4=$H$5,H22-G22,IF($D$4=$I$5,I22-G22,IF($D$4=$J$5,J22-G22,K22-G22)))</f>
        <v>0</v>
      </c>
    </row>
    <row r="23" spans="2:14" outlineLevel="1" x14ac:dyDescent="0.3">
      <c r="F23" s="179"/>
      <c r="G23" s="132"/>
      <c r="H23" s="198"/>
      <c r="I23" s="199"/>
      <c r="J23" s="199"/>
      <c r="K23" s="199"/>
      <c r="L23" s="132"/>
      <c r="M23" s="133"/>
      <c r="N23" s="147"/>
    </row>
    <row r="24" spans="2:14" outlineLevel="1" x14ac:dyDescent="0.3">
      <c r="B24" t="s">
        <v>246</v>
      </c>
      <c r="F24" s="179"/>
      <c r="G24" s="132">
        <v>84858</v>
      </c>
      <c r="H24" s="198">
        <v>91631</v>
      </c>
      <c r="I24" s="199">
        <f>100708.76-372-12448</f>
        <v>87888.76</v>
      </c>
      <c r="J24" s="199">
        <v>96183.46</v>
      </c>
      <c r="K24" s="199">
        <v>101947.5</v>
      </c>
      <c r="L24" s="132">
        <f>102354-1530-1000</f>
        <v>99824</v>
      </c>
      <c r="M24" s="133"/>
      <c r="N24" s="147"/>
    </row>
    <row r="25" spans="2:14" outlineLevel="1" x14ac:dyDescent="0.3">
      <c r="B25" t="s">
        <v>247</v>
      </c>
      <c r="F25" s="179"/>
      <c r="G25" s="132">
        <v>75857</v>
      </c>
      <c r="H25" s="198">
        <v>75869</v>
      </c>
      <c r="I25" s="199">
        <v>75880.22</v>
      </c>
      <c r="J25" s="199">
        <v>75887.83</v>
      </c>
      <c r="K25" s="199">
        <v>75903.05</v>
      </c>
      <c r="L25" s="132">
        <f>75857+60</f>
        <v>75917</v>
      </c>
      <c r="M25" s="133"/>
      <c r="N25" s="147"/>
    </row>
    <row r="26" spans="2:14" outlineLevel="1" x14ac:dyDescent="0.3">
      <c r="B26" t="s">
        <v>248</v>
      </c>
      <c r="F26" s="179"/>
      <c r="G26" s="132"/>
      <c r="H26" s="198"/>
      <c r="I26" s="199"/>
      <c r="J26" s="199"/>
      <c r="K26" s="199"/>
      <c r="L26" s="132"/>
      <c r="M26" s="133"/>
      <c r="N26" s="147"/>
    </row>
    <row r="27" spans="2:14" outlineLevel="1" x14ac:dyDescent="0.3">
      <c r="F27" s="179"/>
      <c r="G27" s="132"/>
      <c r="H27" s="198"/>
      <c r="I27" s="199"/>
      <c r="J27" s="199"/>
      <c r="K27" s="199"/>
      <c r="L27" s="132"/>
      <c r="M27" s="133"/>
      <c r="N27" s="147"/>
    </row>
    <row r="28" spans="2:14" outlineLevel="1" x14ac:dyDescent="0.3">
      <c r="F28" s="179"/>
      <c r="G28" s="132"/>
      <c r="H28" s="198"/>
      <c r="I28" s="199"/>
      <c r="J28" s="199"/>
      <c r="K28" s="199"/>
      <c r="L28" s="132"/>
      <c r="M28" s="133"/>
      <c r="N28" s="147"/>
    </row>
    <row r="29" spans="2:14" outlineLevel="1" x14ac:dyDescent="0.3">
      <c r="B29" s="1" t="s">
        <v>249</v>
      </c>
      <c r="F29" s="179"/>
      <c r="G29" s="150">
        <f t="shared" ref="G29:L29" si="2">SUM(G24:G28)</f>
        <v>160715</v>
      </c>
      <c r="H29" s="200">
        <f t="shared" si="2"/>
        <v>167500</v>
      </c>
      <c r="I29" s="201">
        <f t="shared" si="2"/>
        <v>163768.97999999998</v>
      </c>
      <c r="J29" s="201">
        <f t="shared" si="2"/>
        <v>172071.29</v>
      </c>
      <c r="K29" s="201">
        <f t="shared" si="2"/>
        <v>177850.55</v>
      </c>
      <c r="L29" s="150">
        <f t="shared" si="2"/>
        <v>175741</v>
      </c>
      <c r="M29" s="148">
        <f>IF($D$4=$H$5,H29-L29,IF($D$4=$I$5,I29-L29,IF($D$4=$J$5,J29-L29,K29-L29)))</f>
        <v>2109.5499999999884</v>
      </c>
      <c r="N29" s="151">
        <f>IF($D$4=$H$5,H29-G29,IF($D$4=$I$5,I29-G29,IF($D$4=$J$5,J29-G29,K29-G29)))</f>
        <v>17135.549999999988</v>
      </c>
    </row>
    <row r="30" spans="2:14" outlineLevel="1" x14ac:dyDescent="0.3">
      <c r="F30" s="179"/>
      <c r="G30" s="132"/>
      <c r="H30" s="198"/>
      <c r="I30" s="199"/>
      <c r="J30" s="199"/>
      <c r="K30" s="199"/>
      <c r="L30" s="132"/>
      <c r="M30" s="133"/>
      <c r="N30" s="147"/>
    </row>
    <row r="31" spans="2:14" outlineLevel="1" x14ac:dyDescent="0.3">
      <c r="B31" s="1" t="s">
        <v>250</v>
      </c>
      <c r="F31" s="179"/>
      <c r="G31" s="134">
        <f t="shared" ref="G31:L31" si="3">+G15+G22+G29</f>
        <v>160715</v>
      </c>
      <c r="H31" s="204">
        <f t="shared" si="3"/>
        <v>167500</v>
      </c>
      <c r="I31" s="205">
        <f t="shared" si="3"/>
        <v>163768.97999999998</v>
      </c>
      <c r="J31" s="205">
        <f t="shared" si="3"/>
        <v>172071.29</v>
      </c>
      <c r="K31" s="205">
        <f t="shared" si="3"/>
        <v>177850.55</v>
      </c>
      <c r="L31" s="134">
        <f t="shared" si="3"/>
        <v>175741</v>
      </c>
      <c r="M31" s="135">
        <f>IF($D$4=$H$5,H31-L31,IF($D$4=$I$5,I31-L31,IF($D$4=$J$5,J31-L31,K31-L31)))</f>
        <v>2109.5499999999884</v>
      </c>
      <c r="N31" s="152">
        <f>IF($D$4=$H$5,H31-G31,IF($D$4=$I$5,I31-G31,IF($D$4=$J$5,J31-G31,K31-G31)))</f>
        <v>17135.549999999988</v>
      </c>
    </row>
    <row r="32" spans="2:14" x14ac:dyDescent="0.3">
      <c r="F32" s="179"/>
      <c r="G32" s="132"/>
      <c r="H32" s="198"/>
      <c r="I32" s="199"/>
      <c r="J32" s="199"/>
      <c r="K32" s="199"/>
      <c r="L32" s="132"/>
      <c r="M32" s="133"/>
      <c r="N32" s="147"/>
    </row>
    <row r="33" spans="1:15" x14ac:dyDescent="0.3">
      <c r="A33" s="1" t="s">
        <v>251</v>
      </c>
      <c r="F33" s="179"/>
      <c r="G33" s="136"/>
      <c r="H33" s="202"/>
      <c r="I33" s="203"/>
      <c r="J33" s="203"/>
      <c r="K33" s="203"/>
      <c r="L33" s="136"/>
      <c r="M33" s="137"/>
      <c r="N33" s="153"/>
    </row>
    <row r="34" spans="1:15" x14ac:dyDescent="0.3">
      <c r="B34" t="s">
        <v>252</v>
      </c>
      <c r="F34" s="179"/>
      <c r="G34" s="136"/>
      <c r="H34" s="202"/>
      <c r="I34" s="203"/>
      <c r="J34" s="203"/>
      <c r="K34" s="203"/>
      <c r="L34" s="136"/>
      <c r="M34" s="137"/>
      <c r="N34" s="153"/>
    </row>
    <row r="35" spans="1:15" x14ac:dyDescent="0.3">
      <c r="F35" s="179"/>
      <c r="G35" s="136"/>
      <c r="H35" s="202"/>
      <c r="I35" s="203"/>
      <c r="J35" s="203"/>
      <c r="K35" s="203"/>
      <c r="L35" s="136"/>
      <c r="M35" s="137"/>
      <c r="N35" s="153"/>
    </row>
    <row r="36" spans="1:15" x14ac:dyDescent="0.3">
      <c r="F36" s="179"/>
      <c r="G36" s="132"/>
      <c r="H36" s="198"/>
      <c r="I36" s="199"/>
      <c r="J36" s="199"/>
      <c r="K36" s="199"/>
      <c r="L36" s="132"/>
      <c r="M36" s="133"/>
      <c r="N36" s="147"/>
    </row>
    <row r="37" spans="1:15" x14ac:dyDescent="0.3">
      <c r="B37" s="1" t="s">
        <v>253</v>
      </c>
      <c r="F37" s="179"/>
      <c r="G37" s="150">
        <f t="shared" ref="G37:L37" si="4">SUM(G34:G36)</f>
        <v>0</v>
      </c>
      <c r="H37" s="200">
        <f t="shared" si="4"/>
        <v>0</v>
      </c>
      <c r="I37" s="201">
        <f t="shared" si="4"/>
        <v>0</v>
      </c>
      <c r="J37" s="201">
        <f t="shared" si="4"/>
        <v>0</v>
      </c>
      <c r="K37" s="201">
        <f t="shared" si="4"/>
        <v>0</v>
      </c>
      <c r="L37" s="150">
        <f t="shared" si="4"/>
        <v>0</v>
      </c>
      <c r="M37" s="149">
        <f>IF($D$4=$H$5,H37-L37,IF($D$4=$I$5,I37-L37,IF($D$4=$J$5,J37-L37,K37-L37)))</f>
        <v>0</v>
      </c>
      <c r="N37" s="151">
        <f>IF($D$4=$H$5,H37-G37,IF($D$4=$I$5,I37-G37,IF($D$4=$J$5,J37-G37,K37-G37)))</f>
        <v>0</v>
      </c>
    </row>
    <row r="38" spans="1:15" x14ac:dyDescent="0.3">
      <c r="F38" s="179"/>
      <c r="G38" s="132"/>
      <c r="H38" s="198"/>
      <c r="I38" s="199"/>
      <c r="J38" s="199"/>
      <c r="K38" s="199"/>
      <c r="L38" s="132"/>
      <c r="M38" s="133"/>
      <c r="N38" s="147"/>
    </row>
    <row r="39" spans="1:15" hidden="1" outlineLevel="1" x14ac:dyDescent="0.3">
      <c r="A39" s="1" t="s">
        <v>254</v>
      </c>
      <c r="B39" s="1"/>
      <c r="F39" s="179"/>
      <c r="G39" s="132"/>
      <c r="H39" s="198"/>
      <c r="I39" s="199"/>
      <c r="J39" s="199"/>
      <c r="K39" s="199"/>
      <c r="L39" s="132"/>
      <c r="M39" s="133"/>
      <c r="N39" s="147"/>
    </row>
    <row r="40" spans="1:15" hidden="1" outlineLevel="1" x14ac:dyDescent="0.3">
      <c r="B40" t="s">
        <v>255</v>
      </c>
      <c r="F40" s="179"/>
      <c r="G40" s="132"/>
      <c r="H40" s="198"/>
      <c r="I40" s="199"/>
      <c r="J40" s="199"/>
      <c r="K40" s="199"/>
      <c r="L40" s="132"/>
      <c r="M40" s="133"/>
      <c r="N40" s="147"/>
    </row>
    <row r="41" spans="1:15" hidden="1" outlineLevel="1" x14ac:dyDescent="0.3">
      <c r="B41" t="s">
        <v>256</v>
      </c>
      <c r="F41" s="179"/>
      <c r="G41" s="132"/>
      <c r="H41" s="198"/>
      <c r="I41" s="199"/>
      <c r="J41" s="199"/>
      <c r="K41" s="199"/>
      <c r="L41" s="132"/>
      <c r="M41" s="133"/>
      <c r="N41" s="147"/>
    </row>
    <row r="42" spans="1:15" hidden="1" outlineLevel="1" x14ac:dyDescent="0.3">
      <c r="F42" s="179"/>
      <c r="G42" s="132"/>
      <c r="H42" s="198"/>
      <c r="I42" s="199"/>
      <c r="J42" s="199"/>
      <c r="K42" s="199"/>
      <c r="L42" s="132"/>
      <c r="M42" s="133"/>
      <c r="N42" s="147"/>
    </row>
    <row r="43" spans="1:15" collapsed="1" x14ac:dyDescent="0.3">
      <c r="B43" s="1" t="s">
        <v>257</v>
      </c>
      <c r="F43" s="179"/>
      <c r="G43" s="150">
        <f t="shared" ref="G43:L43" si="5">SUM(G40:G42)</f>
        <v>0</v>
      </c>
      <c r="H43" s="200">
        <f t="shared" si="5"/>
        <v>0</v>
      </c>
      <c r="I43" s="201">
        <f t="shared" si="5"/>
        <v>0</v>
      </c>
      <c r="J43" s="201">
        <f t="shared" si="5"/>
        <v>0</v>
      </c>
      <c r="K43" s="201">
        <f t="shared" si="5"/>
        <v>0</v>
      </c>
      <c r="L43" s="150">
        <f t="shared" si="5"/>
        <v>0</v>
      </c>
      <c r="M43" s="148">
        <f>IF($D$4=$H$5,H43-L43,IF($D$4=$I$5,I43-L43,IF($D$4=$J$5,J43-L43,K43-L43)))</f>
        <v>0</v>
      </c>
      <c r="N43" s="151">
        <f>IF($D$4=$H$5,H43-G43,IF($D$4=$I$5,I43-G43,IF($D$4=$J$5,J43-G43,K43-G43)))</f>
        <v>0</v>
      </c>
    </row>
    <row r="44" spans="1:15" x14ac:dyDescent="0.3">
      <c r="F44" s="179"/>
      <c r="G44" s="132"/>
      <c r="H44" s="198"/>
      <c r="I44" s="199"/>
      <c r="J44" s="199"/>
      <c r="K44" s="199"/>
      <c r="L44" s="132"/>
      <c r="M44" s="133"/>
      <c r="N44" s="147"/>
    </row>
    <row r="45" spans="1:15" ht="14" thickBot="1" x14ac:dyDescent="0.35">
      <c r="A45" s="1" t="s">
        <v>371</v>
      </c>
      <c r="F45" s="179"/>
      <c r="G45" s="138">
        <f t="shared" ref="G45:L45" si="6">+G43+G37+G31</f>
        <v>160715</v>
      </c>
      <c r="H45" s="206">
        <f t="shared" si="6"/>
        <v>167500</v>
      </c>
      <c r="I45" s="207">
        <f t="shared" si="6"/>
        <v>163768.97999999998</v>
      </c>
      <c r="J45" s="207">
        <f t="shared" si="6"/>
        <v>172071.29</v>
      </c>
      <c r="K45" s="207">
        <f t="shared" si="6"/>
        <v>177850.55</v>
      </c>
      <c r="L45" s="138">
        <f t="shared" si="6"/>
        <v>175741</v>
      </c>
      <c r="M45" s="140">
        <f>IF($D$4=$H$5,H45-L45,IF($D$4=$I$5,I45-L45,IF($D$4=$J$5,J45-L45,K45-L45)))</f>
        <v>2109.5499999999884</v>
      </c>
      <c r="N45" s="154">
        <f>IF($D$4=$H$5,H45-G45,IF($D$4=$I$5,I45-G45,IF($D$4=$J$5,J45-G45,K45-G45)))</f>
        <v>17135.549999999988</v>
      </c>
    </row>
    <row r="46" spans="1:15" ht="14" thickTop="1" x14ac:dyDescent="0.3">
      <c r="F46" s="179"/>
      <c r="G46" s="132"/>
      <c r="H46" s="198"/>
      <c r="I46" s="199"/>
      <c r="J46" s="199"/>
      <c r="K46" s="199"/>
      <c r="L46" s="132"/>
      <c r="M46" s="133"/>
      <c r="N46" s="147"/>
    </row>
    <row r="47" spans="1:15" x14ac:dyDescent="0.3">
      <c r="A47" s="1" t="s">
        <v>372</v>
      </c>
      <c r="F47" s="179"/>
      <c r="G47" s="132"/>
      <c r="H47" s="198"/>
      <c r="I47" s="199"/>
      <c r="J47" s="199"/>
      <c r="K47" s="199"/>
      <c r="L47" s="132"/>
      <c r="M47" s="133"/>
      <c r="N47" s="147"/>
      <c r="O47" s="22"/>
    </row>
    <row r="48" spans="1:15" x14ac:dyDescent="0.3">
      <c r="B48" t="s">
        <v>373</v>
      </c>
      <c r="F48" s="179">
        <v>2020</v>
      </c>
      <c r="G48" s="132"/>
      <c r="H48" s="198"/>
      <c r="I48" s="199"/>
      <c r="J48" s="199"/>
      <c r="K48" s="199"/>
      <c r="L48" s="132"/>
      <c r="M48" s="133"/>
      <c r="N48" s="147"/>
    </row>
    <row r="49" spans="1:14" x14ac:dyDescent="0.3">
      <c r="B49" t="s">
        <v>374</v>
      </c>
      <c r="F49" s="179">
        <v>2010</v>
      </c>
      <c r="G49" s="132"/>
      <c r="H49" s="198"/>
      <c r="I49" s="199"/>
      <c r="J49" s="199"/>
      <c r="K49" s="199"/>
      <c r="L49" s="132"/>
      <c r="M49" s="133"/>
      <c r="N49" s="147"/>
    </row>
    <row r="50" spans="1:14" x14ac:dyDescent="0.3">
      <c r="B50" t="s">
        <v>375</v>
      </c>
      <c r="F50" s="179">
        <v>3111</v>
      </c>
      <c r="G50" s="150">
        <v>4470</v>
      </c>
      <c r="H50" s="198">
        <v>5980</v>
      </c>
      <c r="I50" s="203">
        <v>3579</v>
      </c>
      <c r="J50" s="199">
        <v>4189</v>
      </c>
      <c r="K50" s="199">
        <v>5391.5</v>
      </c>
      <c r="L50" s="132">
        <v>4000</v>
      </c>
      <c r="M50" s="133"/>
      <c r="N50" s="147"/>
    </row>
    <row r="51" spans="1:14" x14ac:dyDescent="0.3">
      <c r="B51" t="s">
        <v>376</v>
      </c>
      <c r="F51" s="179">
        <v>2040</v>
      </c>
      <c r="G51" s="132"/>
      <c r="H51" s="198"/>
      <c r="I51" s="199"/>
      <c r="J51" s="199"/>
      <c r="K51" s="199"/>
      <c r="L51" s="132"/>
      <c r="M51" s="133"/>
      <c r="N51" s="147"/>
    </row>
    <row r="52" spans="1:14" x14ac:dyDescent="0.3">
      <c r="B52" t="s">
        <v>377</v>
      </c>
      <c r="F52" s="179"/>
      <c r="G52" s="132"/>
      <c r="H52" s="198"/>
      <c r="I52" s="199"/>
      <c r="J52" s="199"/>
      <c r="K52" s="199"/>
      <c r="L52" s="132"/>
      <c r="M52" s="133"/>
      <c r="N52" s="147"/>
    </row>
    <row r="53" spans="1:14" x14ac:dyDescent="0.3">
      <c r="F53" s="179"/>
      <c r="G53" s="132"/>
      <c r="H53" s="198"/>
      <c r="I53" s="199"/>
      <c r="J53" s="199"/>
      <c r="K53" s="199"/>
      <c r="L53" s="132"/>
      <c r="M53" s="133"/>
      <c r="N53" s="147"/>
    </row>
    <row r="54" spans="1:14" x14ac:dyDescent="0.3">
      <c r="F54" s="179"/>
      <c r="G54" s="132"/>
      <c r="H54" s="198"/>
      <c r="I54" s="199"/>
      <c r="J54" s="199"/>
      <c r="K54" s="199"/>
      <c r="L54" s="132"/>
      <c r="M54" s="133"/>
      <c r="N54" s="147"/>
    </row>
    <row r="55" spans="1:14" x14ac:dyDescent="0.3">
      <c r="B55" s="1" t="s">
        <v>378</v>
      </c>
      <c r="F55" s="179"/>
      <c r="G55" s="150">
        <f t="shared" ref="G55:L55" si="7">SUM(G48:G54)</f>
        <v>4470</v>
      </c>
      <c r="H55" s="200">
        <f>SUM(H48:H54)</f>
        <v>5980</v>
      </c>
      <c r="I55" s="201">
        <f>SUM(I48:I54)</f>
        <v>3579</v>
      </c>
      <c r="J55" s="201">
        <f>SUM(J48:J54)</f>
        <v>4189</v>
      </c>
      <c r="K55" s="201">
        <f t="shared" ref="K55" si="8">SUM(K48:K54)</f>
        <v>5391.5</v>
      </c>
      <c r="L55" s="150">
        <f t="shared" si="7"/>
        <v>4000</v>
      </c>
      <c r="M55" s="149">
        <f>IF($D$4=$H$5,H55-L55,IF($D$4=$I$5,I55-L55,IF($D$4=$J$5,J55-L55,K55-L55)))</f>
        <v>1391.5</v>
      </c>
      <c r="N55" s="151">
        <f>IF($D$4=$H$5,H55-G50,IF($D$4=$I$5,I55-G50,IF($D$4=$J$5,J55-G50,K55-G50)))</f>
        <v>921.5</v>
      </c>
    </row>
    <row r="56" spans="1:14" x14ac:dyDescent="0.3">
      <c r="F56" s="179"/>
      <c r="G56" s="132"/>
      <c r="H56" s="198"/>
      <c r="I56" s="199"/>
      <c r="J56" s="199"/>
      <c r="K56" s="199"/>
      <c r="L56" s="132"/>
      <c r="M56" s="133"/>
      <c r="N56" s="147"/>
    </row>
    <row r="57" spans="1:14" x14ac:dyDescent="0.3">
      <c r="A57" s="1" t="s">
        <v>379</v>
      </c>
      <c r="F57" s="179"/>
      <c r="G57" s="132"/>
      <c r="H57" s="198"/>
      <c r="I57" s="199"/>
      <c r="J57" s="199"/>
      <c r="K57" s="199"/>
      <c r="L57" s="132"/>
      <c r="M57" s="133"/>
      <c r="N57" s="147"/>
    </row>
    <row r="58" spans="1:14" x14ac:dyDescent="0.3">
      <c r="B58" s="156" t="s">
        <v>422</v>
      </c>
      <c r="F58" s="179" t="s">
        <v>380</v>
      </c>
      <c r="G58" s="132">
        <v>60000</v>
      </c>
      <c r="H58" s="198">
        <v>60000</v>
      </c>
      <c r="I58" s="199">
        <v>60000</v>
      </c>
      <c r="J58" s="199">
        <v>60000</v>
      </c>
      <c r="K58" s="199">
        <v>60000</v>
      </c>
      <c r="L58" s="132">
        <v>60000</v>
      </c>
      <c r="M58" s="133"/>
      <c r="N58" s="147"/>
    </row>
    <row r="59" spans="1:14" x14ac:dyDescent="0.3">
      <c r="B59" t="s">
        <v>381</v>
      </c>
      <c r="F59" s="179"/>
      <c r="G59" s="132"/>
      <c r="H59" s="198"/>
      <c r="I59" s="199"/>
      <c r="J59" s="199"/>
      <c r="K59" s="199"/>
      <c r="L59" s="132"/>
      <c r="M59" s="133"/>
      <c r="N59" s="147"/>
    </row>
    <row r="60" spans="1:14" x14ac:dyDescent="0.3">
      <c r="B60" t="s">
        <v>382</v>
      </c>
      <c r="F60" s="179"/>
      <c r="G60" s="132">
        <v>96245</v>
      </c>
      <c r="H60" s="198">
        <f>167500-64470-1510</f>
        <v>101520</v>
      </c>
      <c r="I60" s="199">
        <f>112637.98-12448</f>
        <v>100189.98</v>
      </c>
      <c r="J60" s="199">
        <v>107882</v>
      </c>
      <c r="K60" s="199">
        <v>112459</v>
      </c>
      <c r="L60" s="132">
        <f>18026+96245-1530-1000</f>
        <v>111741</v>
      </c>
      <c r="M60" s="133"/>
      <c r="N60" s="147"/>
    </row>
    <row r="61" spans="1:14" x14ac:dyDescent="0.3">
      <c r="F61" s="179"/>
      <c r="G61" s="132"/>
      <c r="H61" s="198"/>
      <c r="I61" s="189"/>
      <c r="J61" s="199"/>
      <c r="K61" s="199"/>
      <c r="L61" s="132"/>
      <c r="M61" s="133"/>
      <c r="N61" s="147"/>
    </row>
    <row r="62" spans="1:14" x14ac:dyDescent="0.3">
      <c r="B62" s="1" t="s">
        <v>383</v>
      </c>
      <c r="F62" s="179"/>
      <c r="G62" s="150">
        <f t="shared" ref="G62:L62" si="9">SUM(G58:G61)</f>
        <v>156245</v>
      </c>
      <c r="H62" s="200">
        <f t="shared" si="9"/>
        <v>161520</v>
      </c>
      <c r="I62" s="201">
        <f>SUM(I58:I60)</f>
        <v>160189.97999999998</v>
      </c>
      <c r="J62" s="201">
        <f>SUM(J58:J61)</f>
        <v>167882</v>
      </c>
      <c r="K62" s="201">
        <f t="shared" ref="K62" si="10">SUM(K58:K61)</f>
        <v>172459</v>
      </c>
      <c r="L62" s="150">
        <f t="shared" si="9"/>
        <v>171741</v>
      </c>
      <c r="M62" s="149">
        <f>IF($D$4=$H$5,H62-L62,IF($D$4=$I$5,I62-L62,IF($D$4=$J$5,J62-L62,K62-L62)))</f>
        <v>718</v>
      </c>
      <c r="N62" s="151">
        <f>IF($D$4=$H$5,H62-G62,IF($D$4=$I$5,I62-G62,IF($D$4=$J$5,J62-G62,K62-G62)))</f>
        <v>16214</v>
      </c>
    </row>
    <row r="63" spans="1:14" x14ac:dyDescent="0.3">
      <c r="F63" s="179"/>
      <c r="G63" s="132"/>
      <c r="H63" s="198"/>
      <c r="I63" s="199"/>
      <c r="J63" s="199"/>
      <c r="K63" s="199"/>
      <c r="L63" s="132"/>
      <c r="M63" s="133"/>
      <c r="N63" s="147"/>
    </row>
    <row r="64" spans="1:14" ht="14" thickBot="1" x14ac:dyDescent="0.35">
      <c r="A64" s="1" t="s">
        <v>384</v>
      </c>
      <c r="F64" s="183"/>
      <c r="G64" s="138">
        <f>+G50+G62</f>
        <v>160715</v>
      </c>
      <c r="H64" s="206">
        <f>+H55+H62</f>
        <v>167500</v>
      </c>
      <c r="I64" s="207">
        <f>+I55+I62</f>
        <v>163768.97999999998</v>
      </c>
      <c r="J64" s="207">
        <f>+J55+J62</f>
        <v>172071</v>
      </c>
      <c r="K64" s="207">
        <f>+K55+K62</f>
        <v>177850.5</v>
      </c>
      <c r="L64" s="138">
        <f>+L55+L62</f>
        <v>175741</v>
      </c>
      <c r="M64" s="139">
        <f>IF($D$4=$H$5,H64-L64,IF($D$4=$I$5,I64-L64,IF($D$4=$J$5,J64-L64,K64-L64)))</f>
        <v>2109.5</v>
      </c>
      <c r="N64" s="154">
        <f>IF($D$4=$H$5,H64-G64,IF($D$4=$I$5,I64-G64,IF($D$4=$J$5,J64-G64,K64-G64)))</f>
        <v>17135.5</v>
      </c>
    </row>
    <row r="65" spans="1:14" ht="14" thickTop="1" x14ac:dyDescent="0.3">
      <c r="F65" s="10"/>
      <c r="G65" s="129"/>
      <c r="H65" s="195"/>
      <c r="I65" s="195"/>
      <c r="J65" s="195"/>
      <c r="K65" s="195"/>
      <c r="L65" s="129"/>
      <c r="M65" s="129"/>
      <c r="N65" s="129"/>
    </row>
    <row r="66" spans="1:14" x14ac:dyDescent="0.3">
      <c r="A66" t="s">
        <v>405</v>
      </c>
      <c r="F66" s="10"/>
      <c r="G66" s="155">
        <f t="shared" ref="G66:N66" si="11">+G45-G64</f>
        <v>0</v>
      </c>
      <c r="H66" s="209">
        <f t="shared" si="11"/>
        <v>0</v>
      </c>
      <c r="I66" s="208">
        <f t="shared" si="11"/>
        <v>0</v>
      </c>
      <c r="J66" s="209">
        <f t="shared" si="11"/>
        <v>0.29000000000814907</v>
      </c>
      <c r="K66" s="209">
        <f t="shared" si="11"/>
        <v>4.9999999988358468E-2</v>
      </c>
      <c r="L66" s="341">
        <f>+L45-L64</f>
        <v>0</v>
      </c>
      <c r="M66" s="155">
        <f t="shared" si="11"/>
        <v>4.9999999988358468E-2</v>
      </c>
      <c r="N66" s="155">
        <f t="shared" si="11"/>
        <v>4.9999999988358468E-2</v>
      </c>
    </row>
    <row r="67" spans="1:14" x14ac:dyDescent="0.3">
      <c r="H67" s="189"/>
      <c r="I67" s="189"/>
      <c r="J67" s="189"/>
      <c r="K67" s="189"/>
    </row>
    <row r="68" spans="1:14" x14ac:dyDescent="0.3">
      <c r="H68" s="189"/>
      <c r="I68" s="189"/>
      <c r="J68" s="189"/>
      <c r="K68" s="185"/>
    </row>
    <row r="69" spans="1:14" x14ac:dyDescent="0.3">
      <c r="H69" s="189"/>
      <c r="I69" s="189"/>
      <c r="J69" s="189"/>
      <c r="K69" s="189"/>
    </row>
    <row r="70" spans="1:14" x14ac:dyDescent="0.3">
      <c r="A70" s="1" t="s">
        <v>406</v>
      </c>
      <c r="F70" s="17"/>
      <c r="G70" s="17"/>
      <c r="H70" s="210"/>
      <c r="I70" s="210"/>
      <c r="J70" s="210"/>
      <c r="K70" s="210"/>
    </row>
    <row r="71" spans="1:14" x14ac:dyDescent="0.3">
      <c r="B71" t="s">
        <v>407</v>
      </c>
      <c r="F71" s="13">
        <v>3115</v>
      </c>
      <c r="G71" s="95"/>
      <c r="H71" s="211"/>
      <c r="I71" s="212"/>
      <c r="J71" s="212"/>
      <c r="K71" s="213"/>
      <c r="L71" s="126"/>
    </row>
    <row r="72" spans="1:14" x14ac:dyDescent="0.3">
      <c r="B72" t="s">
        <v>408</v>
      </c>
      <c r="F72" s="4">
        <v>3116</v>
      </c>
      <c r="G72" s="95"/>
      <c r="H72" s="211"/>
      <c r="I72" s="212"/>
      <c r="J72" s="212"/>
      <c r="K72" s="214"/>
      <c r="L72" s="127"/>
    </row>
    <row r="73" spans="1:14" x14ac:dyDescent="0.3">
      <c r="B73" t="s">
        <v>409</v>
      </c>
      <c r="F73" s="4">
        <v>3112</v>
      </c>
      <c r="G73" s="95"/>
      <c r="H73" s="211"/>
      <c r="I73" s="212"/>
      <c r="J73" s="212"/>
      <c r="K73" s="214"/>
      <c r="L73" s="127"/>
    </row>
    <row r="74" spans="1:14" x14ac:dyDescent="0.3">
      <c r="B74" t="s">
        <v>353</v>
      </c>
      <c r="F74" s="4">
        <v>3113</v>
      </c>
      <c r="G74" s="95"/>
      <c r="H74" s="211"/>
      <c r="I74" s="212"/>
      <c r="J74" s="212"/>
      <c r="K74" s="214"/>
      <c r="L74" s="127"/>
    </row>
    <row r="75" spans="1:14" x14ac:dyDescent="0.3">
      <c r="B75" t="s">
        <v>410</v>
      </c>
      <c r="F75" s="4">
        <v>3117</v>
      </c>
      <c r="G75" s="95"/>
      <c r="H75" s="211"/>
      <c r="I75" s="212"/>
      <c r="J75" s="212"/>
      <c r="K75" s="214"/>
      <c r="L75" s="127"/>
    </row>
    <row r="76" spans="1:14" x14ac:dyDescent="0.3">
      <c r="B76" t="s">
        <v>411</v>
      </c>
      <c r="F76" s="4">
        <v>3118</v>
      </c>
      <c r="G76" s="95"/>
      <c r="H76" s="211"/>
      <c r="I76" s="212"/>
      <c r="J76" s="212"/>
      <c r="K76" s="214"/>
      <c r="L76" s="127"/>
    </row>
    <row r="77" spans="1:14" x14ac:dyDescent="0.3">
      <c r="B77" t="s">
        <v>412</v>
      </c>
      <c r="F77" s="4">
        <v>3119</v>
      </c>
      <c r="G77" s="95"/>
      <c r="H77" s="211"/>
      <c r="I77" s="212"/>
      <c r="J77" s="212"/>
      <c r="K77" s="214"/>
      <c r="L77" s="127"/>
    </row>
    <row r="78" spans="1:14" x14ac:dyDescent="0.3">
      <c r="B78" t="s">
        <v>413</v>
      </c>
      <c r="F78" s="4">
        <v>3120</v>
      </c>
      <c r="G78" s="95"/>
      <c r="H78" s="211"/>
      <c r="I78" s="212"/>
      <c r="J78" s="212"/>
      <c r="K78" s="214"/>
      <c r="L78" s="127"/>
    </row>
    <row r="79" spans="1:14" x14ac:dyDescent="0.3">
      <c r="B79" t="s">
        <v>414</v>
      </c>
      <c r="F79" s="4">
        <v>3121</v>
      </c>
      <c r="G79" s="95"/>
      <c r="H79" s="211"/>
      <c r="I79" s="212"/>
      <c r="J79" s="212"/>
      <c r="K79" s="214"/>
      <c r="L79" s="127"/>
    </row>
    <row r="80" spans="1:14" x14ac:dyDescent="0.3">
      <c r="B80" t="s">
        <v>415</v>
      </c>
      <c r="F80" s="4">
        <v>3122</v>
      </c>
      <c r="G80" s="95"/>
      <c r="H80" s="211"/>
      <c r="I80" s="212"/>
      <c r="J80" s="212"/>
      <c r="K80" s="214"/>
      <c r="L80" s="127"/>
    </row>
    <row r="81" spans="2:12" x14ac:dyDescent="0.3">
      <c r="B81" t="s">
        <v>416</v>
      </c>
      <c r="F81" s="4">
        <v>3123</v>
      </c>
      <c r="G81" s="95"/>
      <c r="H81" s="211"/>
      <c r="I81" s="212"/>
      <c r="J81" s="212"/>
      <c r="K81" s="214"/>
      <c r="L81" s="127"/>
    </row>
    <row r="82" spans="2:12" x14ac:dyDescent="0.3">
      <c r="F82" s="4"/>
      <c r="G82" s="95"/>
      <c r="H82" s="211"/>
      <c r="I82" s="212"/>
      <c r="J82" s="212"/>
      <c r="K82" s="214"/>
      <c r="L82" s="127"/>
    </row>
    <row r="83" spans="2:12" x14ac:dyDescent="0.3">
      <c r="F83" s="97"/>
      <c r="G83" s="95"/>
      <c r="H83" s="211"/>
      <c r="I83" s="212"/>
      <c r="J83" s="212"/>
      <c r="K83" s="214"/>
      <c r="L83" s="127"/>
    </row>
    <row r="84" spans="2:12" ht="14" thickBot="1" x14ac:dyDescent="0.35">
      <c r="B84" s="1" t="s">
        <v>269</v>
      </c>
      <c r="F84" s="98"/>
      <c r="G84" s="103">
        <f t="shared" ref="G84:L84" si="12">SUM(G71:G83)</f>
        <v>0</v>
      </c>
      <c r="H84" s="215">
        <f t="shared" si="12"/>
        <v>0</v>
      </c>
      <c r="I84" s="216">
        <f t="shared" si="12"/>
        <v>0</v>
      </c>
      <c r="J84" s="216">
        <f t="shared" si="12"/>
        <v>0</v>
      </c>
      <c r="K84" s="217">
        <f t="shared" si="12"/>
        <v>0</v>
      </c>
      <c r="L84" s="128">
        <f t="shared" si="12"/>
        <v>0</v>
      </c>
    </row>
    <row r="85" spans="2:12" ht="14" thickTop="1" x14ac:dyDescent="0.3"/>
  </sheetData>
  <phoneticPr fontId="3" type="noConversion"/>
  <pageMargins left="0.75" right="0.75" top="1" bottom="1" header="0.5" footer="0.5"/>
  <pageSetup scale="52" orientation="landscape" horizontalDpi="4294967292" verticalDpi="4294967292"/>
  <headerFooter alignWithMargins="0">
    <oddFooter>&amp;L&amp;F&amp;C&amp;D&amp;R&amp;A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13"/>
    <pageSetUpPr fitToPage="1"/>
  </sheetPr>
  <dimension ref="A1:P31"/>
  <sheetViews>
    <sheetView zoomScaleNormal="100" workbookViewId="0"/>
  </sheetViews>
  <sheetFormatPr defaultColWidth="11.07421875" defaultRowHeight="13.5" x14ac:dyDescent="0.3"/>
  <cols>
    <col min="1" max="1" width="5.69140625" style="220" customWidth="1"/>
    <col min="2" max="2" width="5.07421875" style="220" customWidth="1"/>
    <col min="3" max="3" width="4.61328125" style="220" customWidth="1"/>
    <col min="4" max="4" width="4.3828125" style="220" customWidth="1"/>
    <col min="5" max="5" width="4.69140625" style="220" customWidth="1"/>
    <col min="6" max="6" width="7.61328125" style="220" customWidth="1"/>
    <col min="7" max="7" width="12" style="220" customWidth="1"/>
    <col min="8" max="9" width="11.07421875" style="220"/>
    <col min="10" max="10" width="12.921875" style="220" customWidth="1"/>
    <col min="11" max="11" width="11.07421875" style="220"/>
    <col min="12" max="12" width="12" style="220" customWidth="1"/>
    <col min="13" max="13" width="12.07421875" style="220" customWidth="1"/>
    <col min="14" max="16384" width="11.07421875" style="220"/>
  </cols>
  <sheetData>
    <row r="1" spans="1:15" ht="15" x14ac:dyDescent="0.3">
      <c r="A1" s="219" t="s">
        <v>193</v>
      </c>
    </row>
    <row r="2" spans="1:15" x14ac:dyDescent="0.3">
      <c r="A2" s="221" t="s">
        <v>226</v>
      </c>
    </row>
    <row r="3" spans="1:15" ht="14" thickBot="1" x14ac:dyDescent="0.35">
      <c r="A3" s="222" t="s">
        <v>272</v>
      </c>
      <c r="H3" s="220">
        <v>1</v>
      </c>
      <c r="I3" s="220">
        <v>2</v>
      </c>
      <c r="J3" s="220">
        <v>3</v>
      </c>
      <c r="K3" s="220">
        <v>4</v>
      </c>
    </row>
    <row r="4" spans="1:15" customFormat="1" ht="14" thickBot="1" x14ac:dyDescent="0.35">
      <c r="A4" s="1" t="s">
        <v>35</v>
      </c>
      <c r="E4" s="36">
        <v>4</v>
      </c>
      <c r="G4" s="159" t="s">
        <v>30</v>
      </c>
      <c r="H4" s="9" t="s">
        <v>139</v>
      </c>
      <c r="I4" s="7" t="s">
        <v>139</v>
      </c>
      <c r="J4" s="7" t="s">
        <v>139</v>
      </c>
      <c r="K4" s="7" t="s">
        <v>139</v>
      </c>
      <c r="L4" s="171" t="s">
        <v>30</v>
      </c>
      <c r="M4" s="121" t="s">
        <v>20</v>
      </c>
      <c r="N4" s="172" t="s">
        <v>140</v>
      </c>
      <c r="O4" s="161" t="s">
        <v>141</v>
      </c>
    </row>
    <row r="5" spans="1:15" customFormat="1" x14ac:dyDescent="0.3">
      <c r="G5" s="158">
        <v>40632</v>
      </c>
      <c r="H5" s="167">
        <v>40723</v>
      </c>
      <c r="I5" s="168">
        <v>40815</v>
      </c>
      <c r="J5" s="168">
        <v>40907</v>
      </c>
      <c r="K5" s="8">
        <v>40998</v>
      </c>
      <c r="L5" s="122" t="s">
        <v>433</v>
      </c>
      <c r="M5" s="118" t="s">
        <v>433</v>
      </c>
      <c r="N5" s="173" t="s">
        <v>20</v>
      </c>
      <c r="O5" s="163" t="s">
        <v>128</v>
      </c>
    </row>
    <row r="6" spans="1:15" x14ac:dyDescent="0.3">
      <c r="G6" s="224"/>
      <c r="L6" s="224"/>
      <c r="M6" s="224"/>
      <c r="O6" s="225"/>
    </row>
    <row r="7" spans="1:15" x14ac:dyDescent="0.3">
      <c r="A7" s="222" t="s">
        <v>61</v>
      </c>
      <c r="G7" s="226">
        <v>126500.36010000001</v>
      </c>
      <c r="H7" s="227">
        <f>G25</f>
        <v>160714.9001</v>
      </c>
      <c r="I7" s="227">
        <f>H25</f>
        <v>167500.4001</v>
      </c>
      <c r="J7" s="227">
        <f>I25</f>
        <v>163769.16010000001</v>
      </c>
      <c r="K7" s="227">
        <f>J25</f>
        <v>172071.39009999999</v>
      </c>
      <c r="L7" s="226">
        <f>G25</f>
        <v>160714.9001</v>
      </c>
      <c r="M7" s="226">
        <f>L7</f>
        <v>160714.9001</v>
      </c>
      <c r="N7" s="227">
        <f>L7-M7</f>
        <v>0</v>
      </c>
      <c r="O7" s="228">
        <f>L7-G7</f>
        <v>34214.539999999994</v>
      </c>
    </row>
    <row r="8" spans="1:15" x14ac:dyDescent="0.3">
      <c r="G8" s="229"/>
      <c r="H8" s="230"/>
      <c r="I8" s="230"/>
      <c r="J8" s="230"/>
      <c r="K8" s="230"/>
      <c r="L8" s="229"/>
      <c r="M8" s="229"/>
      <c r="N8" s="230"/>
      <c r="O8" s="231"/>
    </row>
    <row r="9" spans="1:15" x14ac:dyDescent="0.3">
      <c r="A9" s="222" t="s">
        <v>65</v>
      </c>
      <c r="G9" s="232">
        <v>18623.009999999998</v>
      </c>
      <c r="H9" s="233">
        <f>+'AL Inc Stmt'!L88</f>
        <v>64.5</v>
      </c>
      <c r="I9" s="233">
        <f>+'AL Inc Stmt'!M88</f>
        <v>469.69000000000079</v>
      </c>
      <c r="J9" s="233">
        <f>+'AL Inc Stmt'!N88</f>
        <v>-2144.6999999999994</v>
      </c>
      <c r="K9" s="233">
        <f>+'AL Inc Stmt'!O88</f>
        <v>4216.6099999999988</v>
      </c>
      <c r="L9" s="232">
        <f>SUM(H9:K9)</f>
        <v>2606.1000000000004</v>
      </c>
      <c r="M9" s="232">
        <f>'AL Inc Stmt'!Q88</f>
        <v>18026.099999999999</v>
      </c>
      <c r="N9" s="233">
        <f>L9-M9</f>
        <v>-15419.999999999998</v>
      </c>
      <c r="O9" s="234">
        <f>L9-G9</f>
        <v>-16016.909999999998</v>
      </c>
    </row>
    <row r="10" spans="1:15" x14ac:dyDescent="0.3">
      <c r="G10" s="235"/>
      <c r="H10" s="236"/>
      <c r="I10" s="236"/>
      <c r="J10" s="236"/>
      <c r="K10" s="236"/>
      <c r="L10" s="235"/>
      <c r="M10" s="235"/>
      <c r="N10" s="236"/>
      <c r="O10" s="237"/>
    </row>
    <row r="11" spans="1:15" x14ac:dyDescent="0.3">
      <c r="A11" s="222" t="s">
        <v>66</v>
      </c>
      <c r="G11" s="232">
        <v>-951.47</v>
      </c>
      <c r="H11" s="233">
        <f>-'AL Inc Stmt'!L132</f>
        <v>-789</v>
      </c>
      <c r="I11" s="233">
        <f>-'AL Inc Stmt'!M132</f>
        <v>-1799.9299999999998</v>
      </c>
      <c r="J11" s="233">
        <f>-'AL Inc Stmt'!N132</f>
        <v>-2210.0700000000002</v>
      </c>
      <c r="K11" s="233">
        <f>-'AL Inc Stmt'!O132</f>
        <v>0</v>
      </c>
      <c r="L11" s="232">
        <f>SUM(H11:K11)</f>
        <v>-4799</v>
      </c>
      <c r="M11" s="232">
        <f>-'AL Inc Stmt'!Q94</f>
        <v>-21000</v>
      </c>
      <c r="N11" s="233">
        <f>L11-M11</f>
        <v>16201</v>
      </c>
      <c r="O11" s="234">
        <f>L11-G11</f>
        <v>-3847.5299999999997</v>
      </c>
    </row>
    <row r="12" spans="1:15" x14ac:dyDescent="0.3">
      <c r="G12" s="235"/>
      <c r="H12" s="236"/>
      <c r="I12" s="236"/>
      <c r="J12" s="236"/>
      <c r="K12" s="236"/>
      <c r="L12" s="235"/>
      <c r="M12" s="235"/>
      <c r="N12" s="236"/>
      <c r="O12" s="237"/>
    </row>
    <row r="13" spans="1:15" x14ac:dyDescent="0.3">
      <c r="A13" s="222" t="s">
        <v>63</v>
      </c>
      <c r="G13" s="232">
        <v>-1646</v>
      </c>
      <c r="H13" s="233">
        <f>IF(E4=1,'AL Bal Sheet'!H55-'AL Bal Sheet'!G50,'AL Bal Sheet'!H55-'AL Bal Sheet'!G50)</f>
        <v>1510</v>
      </c>
      <c r="I13" s="233">
        <f>IF($E$4=2,'AL Bal Sheet'!I55-'AL Bal Sheet'!H55,IF(E4=3,'AL Bal Sheet'!I55-'AL Bal Sheet'!H55,IF(E4=4,'AL Bal Sheet'!I55-'AL Bal Sheet'!H55,0)))</f>
        <v>-2401</v>
      </c>
      <c r="J13" s="233">
        <f>IF($E$4=3,'AL Bal Sheet'!J55-'AL Bal Sheet'!I55,IF(E4=4,'AL Bal Sheet'!J55-'AL Bal Sheet'!I55,0))</f>
        <v>610</v>
      </c>
      <c r="K13" s="233">
        <f>IF($E$4=4,'AL Bal Sheet'!K55-'AL Bal Sheet'!J55,0)</f>
        <v>1202.5</v>
      </c>
      <c r="L13" s="232">
        <f>SUM(H13:K13)</f>
        <v>921.5</v>
      </c>
      <c r="M13" s="232">
        <v>0</v>
      </c>
      <c r="N13" s="233">
        <f>L13-M13</f>
        <v>921.5</v>
      </c>
      <c r="O13" s="234">
        <f>L13-G13</f>
        <v>2567.5</v>
      </c>
    </row>
    <row r="14" spans="1:15" x14ac:dyDescent="0.3">
      <c r="G14" s="235"/>
      <c r="H14" s="230"/>
      <c r="I14" s="230"/>
      <c r="J14" s="230"/>
      <c r="K14" s="236"/>
      <c r="L14" s="235"/>
      <c r="M14" s="235"/>
      <c r="N14" s="236"/>
      <c r="O14" s="237"/>
    </row>
    <row r="15" spans="1:15" x14ac:dyDescent="0.3">
      <c r="G15" s="235"/>
      <c r="H15" s="236"/>
      <c r="I15" s="236"/>
      <c r="J15" s="236"/>
      <c r="K15" s="236"/>
      <c r="L15" s="235"/>
      <c r="M15" s="235"/>
      <c r="N15" s="236"/>
      <c r="O15" s="237"/>
    </row>
    <row r="16" spans="1:15" x14ac:dyDescent="0.3">
      <c r="A16" s="222" t="s">
        <v>64</v>
      </c>
      <c r="G16" s="232">
        <v>0</v>
      </c>
      <c r="H16" s="233">
        <f>IF(E7=1,'AL Bal Sheet'!H43-'AL Bal Sheet'!G43,'AL Bal Sheet'!H43-'AL Bal Sheet'!G43)</f>
        <v>0</v>
      </c>
      <c r="I16" s="233">
        <f>IF($E$4=2,'AL Bal Sheet'!I43-'AL Bal Sheet'!H43,IF(E7=3,'AL Bal Sheet'!I43-'AL Bal Sheet'!H43,IF(E7=4,'AL Bal Sheet'!I43-'AL Bal Sheet'!H43,0)))</f>
        <v>0</v>
      </c>
      <c r="J16" s="233">
        <f>IF($E$4=3,'AL Bal Sheet'!J43-'AL Bal Sheet'!I43,IF(E7=4,'AL Bal Sheet'!J43-'AL Bal Sheet'!I43,0))</f>
        <v>0</v>
      </c>
      <c r="K16" s="233">
        <f>IF($E$4=4,'ESL Bal Sheet'!K43-'ESL Bal Sheet'!J43,0)</f>
        <v>0</v>
      </c>
      <c r="L16" s="232">
        <f>SUM(H16:K16)</f>
        <v>0</v>
      </c>
      <c r="M16" s="232">
        <v>0</v>
      </c>
      <c r="N16" s="233">
        <f>L16-M16</f>
        <v>0</v>
      </c>
      <c r="O16" s="234">
        <f>L16-G16</f>
        <v>0</v>
      </c>
    </row>
    <row r="17" spans="1:16" x14ac:dyDescent="0.3">
      <c r="G17" s="235"/>
      <c r="H17" s="236"/>
      <c r="I17" s="236"/>
      <c r="J17" s="236"/>
      <c r="K17" s="236"/>
      <c r="L17" s="235"/>
      <c r="M17" s="235"/>
      <c r="N17" s="236"/>
      <c r="O17" s="237"/>
    </row>
    <row r="18" spans="1:16" x14ac:dyDescent="0.3">
      <c r="A18" s="222" t="s">
        <v>67</v>
      </c>
      <c r="G18" s="235"/>
      <c r="H18" s="236"/>
      <c r="I18" s="236"/>
      <c r="J18" s="236"/>
      <c r="K18" s="236"/>
      <c r="L18" s="235"/>
      <c r="M18" s="235"/>
      <c r="N18" s="236"/>
      <c r="O18" s="237"/>
    </row>
    <row r="19" spans="1:16" x14ac:dyDescent="0.3">
      <c r="B19" s="220" t="s">
        <v>27</v>
      </c>
      <c r="G19" s="235">
        <v>0</v>
      </c>
      <c r="H19" s="236"/>
      <c r="I19" s="236"/>
      <c r="J19" s="236"/>
      <c r="K19" s="236"/>
      <c r="L19" s="235">
        <f>SUM(H19:K19)</f>
        <v>0</v>
      </c>
      <c r="M19" s="235"/>
      <c r="N19" s="236">
        <f>L19-M19</f>
        <v>0</v>
      </c>
      <c r="O19" s="237">
        <f>L19-G19</f>
        <v>0</v>
      </c>
    </row>
    <row r="20" spans="1:16" x14ac:dyDescent="0.3">
      <c r="B20" s="220" t="s">
        <v>58</v>
      </c>
      <c r="G20" s="235">
        <v>0</v>
      </c>
      <c r="H20" s="236">
        <f>+'AL Inc Stmt'!L104</f>
        <v>0</v>
      </c>
      <c r="I20" s="236">
        <f>+'AL Inc Stmt'!M104</f>
        <v>0</v>
      </c>
      <c r="J20" s="236">
        <f>+'AL Inc Stmt'!N104</f>
        <v>0</v>
      </c>
      <c r="K20" s="236">
        <f>+'AL Inc Stmt'!O104</f>
        <v>0</v>
      </c>
      <c r="L20" s="235">
        <f>SUM(H20:K20)</f>
        <v>0</v>
      </c>
      <c r="M20" s="235"/>
      <c r="N20" s="236">
        <f>L20-M20</f>
        <v>0</v>
      </c>
      <c r="O20" s="237">
        <f>L20-G20</f>
        <v>0</v>
      </c>
    </row>
    <row r="21" spans="1:16" x14ac:dyDescent="0.3">
      <c r="B21" s="220" t="s">
        <v>59</v>
      </c>
      <c r="G21" s="235">
        <v>18189</v>
      </c>
      <c r="H21" s="236">
        <f>+'AL Inc Stmt'!L99+'AL Inc Stmt'!L101</f>
        <v>6000</v>
      </c>
      <c r="I21" s="236">
        <f>+'AL Inc Stmt'!M99+'AL Inc Stmt'!M101</f>
        <v>0</v>
      </c>
      <c r="J21" s="236">
        <f>+'AL Inc Stmt'!N99+'AL Inc Stmt'!N101</f>
        <v>12047</v>
      </c>
      <c r="K21" s="236">
        <f>+'AL Inc Stmt'!O99+'AL Inc Stmt'!O101</f>
        <v>360</v>
      </c>
      <c r="L21" s="235">
        <f>SUM(H21:K21)</f>
        <v>18407</v>
      </c>
      <c r="M21" s="235">
        <f>'AL Inc Stmt'!Q99+'AL Inc Stmt'!Q101</f>
        <v>18000</v>
      </c>
      <c r="N21" s="236">
        <f>L21-M21</f>
        <v>407</v>
      </c>
      <c r="O21" s="237">
        <f>L21-G21</f>
        <v>218</v>
      </c>
    </row>
    <row r="22" spans="1:16" x14ac:dyDescent="0.3">
      <c r="G22" s="235"/>
      <c r="H22" s="236"/>
      <c r="I22" s="236"/>
      <c r="J22" s="236"/>
      <c r="K22" s="236"/>
      <c r="L22" s="235"/>
      <c r="M22" s="235"/>
      <c r="N22" s="236"/>
      <c r="O22" s="237"/>
    </row>
    <row r="23" spans="1:16" x14ac:dyDescent="0.3">
      <c r="B23" s="222" t="s">
        <v>60</v>
      </c>
      <c r="G23" s="232">
        <f t="shared" ref="G23:M23" si="0">SUM(G19:G21)</f>
        <v>18189</v>
      </c>
      <c r="H23" s="233">
        <f t="shared" si="0"/>
        <v>6000</v>
      </c>
      <c r="I23" s="233">
        <f t="shared" si="0"/>
        <v>0</v>
      </c>
      <c r="J23" s="233">
        <f t="shared" si="0"/>
        <v>12047</v>
      </c>
      <c r="K23" s="233">
        <f t="shared" si="0"/>
        <v>360</v>
      </c>
      <c r="L23" s="232">
        <f t="shared" si="0"/>
        <v>18407</v>
      </c>
      <c r="M23" s="232">
        <f t="shared" si="0"/>
        <v>18000</v>
      </c>
      <c r="N23" s="233">
        <f>L23-M23</f>
        <v>407</v>
      </c>
      <c r="O23" s="234">
        <f>L23-G23</f>
        <v>218</v>
      </c>
    </row>
    <row r="24" spans="1:16" x14ac:dyDescent="0.3">
      <c r="G24" s="238"/>
      <c r="H24" s="230"/>
      <c r="I24" s="230"/>
      <c r="J24" s="230"/>
      <c r="K24" s="230"/>
      <c r="L24" s="238"/>
      <c r="M24" s="238"/>
      <c r="N24" s="230"/>
      <c r="O24" s="231"/>
    </row>
    <row r="25" spans="1:16" ht="14" thickBot="1" x14ac:dyDescent="0.35">
      <c r="A25" s="222" t="s">
        <v>62</v>
      </c>
      <c r="G25" s="239">
        <f t="shared" ref="G25:M25" si="1">+G7+G9+G11+G13+G16+G23</f>
        <v>160714.9001</v>
      </c>
      <c r="H25" s="240">
        <f t="shared" si="1"/>
        <v>167500.4001</v>
      </c>
      <c r="I25" s="240">
        <f t="shared" si="1"/>
        <v>163769.16010000001</v>
      </c>
      <c r="J25" s="240">
        <f t="shared" si="1"/>
        <v>172071.39009999999</v>
      </c>
      <c r="K25" s="240">
        <f t="shared" si="1"/>
        <v>177850.50009999998</v>
      </c>
      <c r="L25" s="239">
        <f t="shared" si="1"/>
        <v>177850.5001</v>
      </c>
      <c r="M25" s="239">
        <f t="shared" si="1"/>
        <v>175741.0001</v>
      </c>
      <c r="N25" s="240">
        <f>L25-M25</f>
        <v>2109.5</v>
      </c>
      <c r="O25" s="241">
        <f>L25-G25</f>
        <v>17135.600000000006</v>
      </c>
    </row>
    <row r="26" spans="1:16" ht="14" thickTop="1" x14ac:dyDescent="0.3">
      <c r="G26" s="236"/>
      <c r="H26" s="236"/>
      <c r="I26" s="236"/>
      <c r="J26" s="236"/>
      <c r="K26" s="236"/>
      <c r="L26" s="236"/>
      <c r="M26" s="236"/>
      <c r="N26" s="236"/>
      <c r="O26" s="236"/>
    </row>
    <row r="27" spans="1:16" x14ac:dyDescent="0.3">
      <c r="G27" s="236"/>
      <c r="H27" s="236"/>
      <c r="I27" s="236"/>
      <c r="J27" s="236"/>
      <c r="K27" s="236"/>
      <c r="L27" s="236"/>
      <c r="M27" s="236"/>
      <c r="N27" s="236"/>
      <c r="O27" s="236"/>
    </row>
    <row r="28" spans="1:16" x14ac:dyDescent="0.3">
      <c r="A28" s="220" t="s">
        <v>71</v>
      </c>
      <c r="G28" s="230"/>
      <c r="H28" s="230"/>
      <c r="I28" s="230"/>
      <c r="J28" s="230"/>
      <c r="K28" s="230"/>
      <c r="L28" s="230"/>
      <c r="M28" s="230"/>
      <c r="N28" s="230"/>
      <c r="O28" s="230"/>
    </row>
    <row r="29" spans="1:16" x14ac:dyDescent="0.3">
      <c r="B29" s="220" t="s">
        <v>72</v>
      </c>
      <c r="G29" s="236">
        <f>+'AL Bal Sheet'!G29</f>
        <v>160715</v>
      </c>
      <c r="H29" s="236">
        <f>+'AL Bal Sheet'!H29</f>
        <v>167500</v>
      </c>
      <c r="I29" s="236">
        <f>+'AL Bal Sheet'!I29</f>
        <v>163768.97999999998</v>
      </c>
      <c r="J29" s="236">
        <f>+'AL Bal Sheet'!J29</f>
        <v>172071.29</v>
      </c>
      <c r="K29" s="236">
        <f>+'AL Bal Sheet'!K29</f>
        <v>177850.55</v>
      </c>
      <c r="L29" s="236">
        <f>K29</f>
        <v>177850.55</v>
      </c>
      <c r="M29" s="236">
        <f>+'AL Bal Sheet'!L29</f>
        <v>175741</v>
      </c>
      <c r="N29" s="236"/>
      <c r="O29" s="236"/>
    </row>
    <row r="30" spans="1:16" ht="14" thickBot="1" x14ac:dyDescent="0.35">
      <c r="B30" s="220" t="s">
        <v>73</v>
      </c>
      <c r="G30" s="242">
        <f t="shared" ref="G30:M30" si="2">+G25-G29</f>
        <v>-9.9900000001071021E-2</v>
      </c>
      <c r="H30" s="242">
        <f t="shared" si="2"/>
        <v>0.40009999999892898</v>
      </c>
      <c r="I30" s="242">
        <f t="shared" si="2"/>
        <v>0.18010000002686866</v>
      </c>
      <c r="J30" s="242">
        <f t="shared" si="2"/>
        <v>0.10009999998146668</v>
      </c>
      <c r="K30" s="242">
        <f t="shared" si="2"/>
        <v>-4.9900000012712553E-2</v>
      </c>
      <c r="L30" s="242">
        <f t="shared" si="2"/>
        <v>-4.9899999983608723E-2</v>
      </c>
      <c r="M30" s="242">
        <f t="shared" si="2"/>
        <v>1.0000000474974513E-4</v>
      </c>
      <c r="N30" s="230"/>
      <c r="O30" s="230"/>
      <c r="P30" s="230"/>
    </row>
    <row r="31" spans="1:16" ht="14" thickTop="1" x14ac:dyDescent="0.3"/>
  </sheetData>
  <sheetProtection algorithmName="SHA-512" hashValue="8lpnDQEsxqnr4/lrkqiaxmnjkw7bENorxfTxXACKH/v4UeMiU65Tsj3xckkF7MG1J6kP3j0Die3fIza3BfJyrA==" saltValue="FGONzV3rXrbnX4sor2nZ0w==" spinCount="100000" sheet="1"/>
  <phoneticPr fontId="3" type="noConversion"/>
  <pageMargins left="0.75" right="0.75" top="1" bottom="1" header="0.5" footer="0.5"/>
  <pageSetup scale="73" orientation="landscape" horizontalDpi="4294967292" verticalDpi="4294967292"/>
  <headerFooter alignWithMargins="0">
    <oddFooter>&amp;L&amp;F&amp;C&amp;D&amp;R&amp;A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Consol Inc Stmt</vt:lpstr>
      <vt:lpstr>Consol Bal Sheet</vt:lpstr>
      <vt:lpstr>Consol CF Smt</vt:lpstr>
      <vt:lpstr>CAC Inc Stmt</vt:lpstr>
      <vt:lpstr>CAC Bal Sheet</vt:lpstr>
      <vt:lpstr>CAC CF Smt</vt:lpstr>
      <vt:lpstr>AL Inc Stmt</vt:lpstr>
      <vt:lpstr>AL Bal Sheet</vt:lpstr>
      <vt:lpstr>AL CF Smt</vt:lpstr>
      <vt:lpstr>ESL Inc Stmt</vt:lpstr>
      <vt:lpstr>ESL Bal Sheet</vt:lpstr>
      <vt:lpstr>ESL CF Smt</vt:lpstr>
      <vt:lpstr>'AL Bal Sheet'!Print_Titles</vt:lpstr>
      <vt:lpstr>'AL CF Smt'!Print_Titles</vt:lpstr>
      <vt:lpstr>'AL Inc Stmt'!Print_Titles</vt:lpstr>
      <vt:lpstr>'CAC Bal Sheet'!Print_Titles</vt:lpstr>
      <vt:lpstr>'CAC CF Smt'!Print_Titles</vt:lpstr>
      <vt:lpstr>'CAC Inc Stmt'!Print_Titles</vt:lpstr>
      <vt:lpstr>'Consol Bal Sheet'!Print_Titles</vt:lpstr>
      <vt:lpstr>'Consol CF Smt'!Print_Titles</vt:lpstr>
      <vt:lpstr>'Consol Inc Stmt'!Print_Titles</vt:lpstr>
      <vt:lpstr>'ESL Bal Sheet'!Print_Titles</vt:lpstr>
      <vt:lpstr>'ESL CF Smt'!Print_Titles</vt:lpstr>
      <vt:lpstr>'ESL Inc Stmt'!Print_Titles</vt:lpstr>
    </vt:vector>
  </TitlesOfParts>
  <Company>self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Toran</dc:creator>
  <cp:lastModifiedBy>Margy Eller</cp:lastModifiedBy>
  <cp:lastPrinted>2016-01-16T21:09:24Z</cp:lastPrinted>
  <dcterms:created xsi:type="dcterms:W3CDTF">2011-09-19T18:17:28Z</dcterms:created>
  <dcterms:modified xsi:type="dcterms:W3CDTF">2016-04-24T00:10:56Z</dcterms:modified>
</cp:coreProperties>
</file>